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5.xml" ContentType="application/vnd.openxmlformats-officedocument.drawing+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565"/>
  </bookViews>
  <sheets>
    <sheet name="Page de garde" sheetId="1" r:id="rId1"/>
    <sheet name="ETPMR" sheetId="2" r:id="rId2"/>
    <sheet name="Masse salariale" sheetId="3" r:id="rId3"/>
    <sheet name="Activité" sheetId="6" r:id="rId4"/>
    <sheet name="Recettes T2A" sheetId="7" r:id="rId5"/>
    <sheet name="Base données mensuelles n-1" sheetId="8" r:id="rId6"/>
    <sheet name="Feuil1" sheetId="9" state="hidden" r:id="rId7"/>
  </sheets>
  <definedNames>
    <definedName name="année">'Page de garde'!$E$9</definedName>
    <definedName name="mois">Feuil1!$A$1:$A$12</definedName>
    <definedName name="_xlnm.Print_Area" localSheetId="3">Activité!$A$1:$AB$75</definedName>
    <definedName name="_xlnm.Print_Area" localSheetId="1">ETPMR!$A$1:$AB$75</definedName>
  </definedNames>
  <calcPr calcId="145621"/>
</workbook>
</file>

<file path=xl/calcChain.xml><?xml version="1.0" encoding="utf-8"?>
<calcChain xmlns="http://schemas.openxmlformats.org/spreadsheetml/2006/main">
  <c r="N3" i="7" l="1"/>
  <c r="N3" i="6"/>
  <c r="N3" i="3"/>
  <c r="P4" i="2"/>
  <c r="I36" i="8" l="1"/>
  <c r="B36" i="8"/>
  <c r="C36" i="8"/>
  <c r="D36" i="8"/>
  <c r="E36" i="8"/>
  <c r="F36" i="8"/>
  <c r="G36" i="8"/>
  <c r="H36" i="8"/>
  <c r="J36" i="8"/>
  <c r="K36" i="8"/>
  <c r="L36" i="8"/>
  <c r="M36" i="8"/>
  <c r="Q25" i="3"/>
  <c r="R25" i="3"/>
  <c r="S25" i="3"/>
  <c r="T25" i="3"/>
  <c r="U25" i="3"/>
  <c r="V25" i="3"/>
  <c r="W25" i="3"/>
  <c r="X25" i="3"/>
  <c r="Y25" i="3"/>
  <c r="Z25" i="3"/>
  <c r="AA25" i="3"/>
  <c r="AB25" i="3"/>
  <c r="Q26" i="3"/>
  <c r="R26" i="3"/>
  <c r="S26" i="3"/>
  <c r="T26" i="3"/>
  <c r="U26" i="3"/>
  <c r="V26" i="3"/>
  <c r="W26" i="3"/>
  <c r="X26" i="3"/>
  <c r="Y26" i="3"/>
  <c r="Z26" i="3"/>
  <c r="AA26" i="3"/>
  <c r="AB26" i="3"/>
  <c r="Q27" i="3"/>
  <c r="R27" i="3"/>
  <c r="S27" i="3"/>
  <c r="T27" i="3"/>
  <c r="U27" i="3"/>
  <c r="V27" i="3"/>
  <c r="W27" i="3"/>
  <c r="X27" i="3"/>
  <c r="Y27" i="3"/>
  <c r="Z27" i="3"/>
  <c r="AA27" i="3"/>
  <c r="AB27" i="3"/>
  <c r="Q28" i="3"/>
  <c r="R28" i="3"/>
  <c r="S28" i="3"/>
  <c r="T28" i="3"/>
  <c r="U28" i="3"/>
  <c r="V28" i="3"/>
  <c r="W28" i="3"/>
  <c r="X28" i="3"/>
  <c r="Y28" i="3"/>
  <c r="Z28" i="3"/>
  <c r="AA28" i="3"/>
  <c r="AB28" i="3"/>
  <c r="Q29" i="3"/>
  <c r="R29" i="3"/>
  <c r="S29" i="3"/>
  <c r="T29" i="3"/>
  <c r="U29" i="3"/>
  <c r="V29" i="3"/>
  <c r="W29" i="3"/>
  <c r="X29" i="3"/>
  <c r="Y29" i="3"/>
  <c r="Z29" i="3"/>
  <c r="AA29" i="3"/>
  <c r="AB29" i="3"/>
  <c r="Q30" i="3"/>
  <c r="R30" i="3"/>
  <c r="S30" i="3"/>
  <c r="T30" i="3"/>
  <c r="U30" i="3"/>
  <c r="V30" i="3"/>
  <c r="W30" i="3"/>
  <c r="X30" i="3"/>
  <c r="Y30" i="3"/>
  <c r="Z30" i="3"/>
  <c r="AA30" i="3"/>
  <c r="AB30" i="3"/>
  <c r="Q32" i="3"/>
  <c r="R32" i="3"/>
  <c r="S32" i="3"/>
  <c r="T32" i="3"/>
  <c r="U32" i="3"/>
  <c r="V32" i="3"/>
  <c r="W32" i="3"/>
  <c r="X32" i="3"/>
  <c r="Y32" i="3"/>
  <c r="Z32" i="3"/>
  <c r="AA32" i="3"/>
  <c r="AB32" i="3"/>
  <c r="Q33" i="3"/>
  <c r="R33" i="3"/>
  <c r="S33" i="3"/>
  <c r="T33" i="3"/>
  <c r="U33" i="3"/>
  <c r="V33" i="3"/>
  <c r="W33" i="3"/>
  <c r="X33" i="3"/>
  <c r="Y33" i="3"/>
  <c r="Z33" i="3"/>
  <c r="AA33" i="3"/>
  <c r="AB33" i="3"/>
  <c r="Q34" i="3"/>
  <c r="R34" i="3"/>
  <c r="S34" i="3"/>
  <c r="T34" i="3"/>
  <c r="U34" i="3"/>
  <c r="V34" i="3"/>
  <c r="W34" i="3"/>
  <c r="X34" i="3"/>
  <c r="Y34" i="3"/>
  <c r="Z34" i="3"/>
  <c r="AA34" i="3"/>
  <c r="AB34" i="3"/>
  <c r="Q20" i="3"/>
  <c r="R20" i="3"/>
  <c r="S20" i="3"/>
  <c r="T20" i="3"/>
  <c r="U20" i="3"/>
  <c r="V20" i="3"/>
  <c r="W20" i="3"/>
  <c r="X20" i="3"/>
  <c r="Y20" i="3"/>
  <c r="Z20" i="3"/>
  <c r="AA20" i="3"/>
  <c r="AB20" i="3"/>
  <c r="Q19" i="3"/>
  <c r="H3" i="1"/>
  <c r="Z1" i="7"/>
  <c r="Z1" i="6"/>
  <c r="Z1" i="3"/>
  <c r="Z1" i="2"/>
  <c r="H5" i="1"/>
  <c r="B15" i="2" l="1"/>
  <c r="C15" i="2"/>
  <c r="Z6" i="7"/>
  <c r="AA6" i="7"/>
  <c r="AB6" i="7"/>
  <c r="Z7" i="7"/>
  <c r="AA7" i="7"/>
  <c r="AB7" i="7"/>
  <c r="AB5" i="7"/>
  <c r="AA5" i="7"/>
  <c r="Z5" i="7"/>
  <c r="Q45" i="2"/>
  <c r="R45" i="2"/>
  <c r="S45" i="2"/>
  <c r="T45" i="2"/>
  <c r="U45" i="2"/>
  <c r="V45" i="2"/>
  <c r="W45" i="2"/>
  <c r="X45" i="2"/>
  <c r="Y45" i="2"/>
  <c r="Z45" i="2"/>
  <c r="AA45" i="2"/>
  <c r="AB45" i="2"/>
  <c r="Q46" i="2"/>
  <c r="R46" i="2"/>
  <c r="S46" i="2"/>
  <c r="T46" i="2"/>
  <c r="U46" i="2"/>
  <c r="V46" i="2"/>
  <c r="W46" i="2"/>
  <c r="X46" i="2"/>
  <c r="Y46" i="2"/>
  <c r="Z46" i="2"/>
  <c r="AA46" i="2"/>
  <c r="AB46" i="2"/>
  <c r="Q47" i="2"/>
  <c r="R47" i="2"/>
  <c r="S47" i="2"/>
  <c r="T47" i="2"/>
  <c r="U47" i="2"/>
  <c r="V47" i="2"/>
  <c r="W47" i="2"/>
  <c r="X47" i="2"/>
  <c r="Y47" i="2"/>
  <c r="Z47" i="2"/>
  <c r="AA47" i="2"/>
  <c r="AB47" i="2"/>
  <c r="Q48" i="2"/>
  <c r="R48" i="2"/>
  <c r="S48" i="2"/>
  <c r="T48" i="2"/>
  <c r="U48" i="2"/>
  <c r="V48" i="2"/>
  <c r="W48" i="2"/>
  <c r="X48" i="2"/>
  <c r="Y48" i="2"/>
  <c r="Z48" i="2"/>
  <c r="AA48" i="2"/>
  <c r="AB48" i="2"/>
  <c r="Q49" i="2"/>
  <c r="R49" i="2"/>
  <c r="S49" i="2"/>
  <c r="T49" i="2"/>
  <c r="U49" i="2"/>
  <c r="V49" i="2"/>
  <c r="W49" i="2"/>
  <c r="X49" i="2"/>
  <c r="Y49" i="2"/>
  <c r="Z49" i="2"/>
  <c r="AA49" i="2"/>
  <c r="AB49" i="2"/>
  <c r="Q50" i="2"/>
  <c r="R50" i="2"/>
  <c r="S50" i="2"/>
  <c r="T50" i="2"/>
  <c r="U50" i="2"/>
  <c r="V50" i="2"/>
  <c r="W50" i="2"/>
  <c r="X50" i="2"/>
  <c r="Y50" i="2"/>
  <c r="Z50" i="2"/>
  <c r="AA50" i="2"/>
  <c r="AB50" i="2"/>
  <c r="AB44" i="2"/>
  <c r="AA44" i="2"/>
  <c r="Z44" i="2"/>
  <c r="Y44" i="2"/>
  <c r="X44" i="2"/>
  <c r="W44" i="2"/>
  <c r="V44" i="2"/>
  <c r="U44" i="2"/>
  <c r="T44" i="2"/>
  <c r="S44" i="2"/>
  <c r="R44" i="2"/>
  <c r="Q44" i="2"/>
  <c r="AA16" i="2"/>
  <c r="AB16" i="2"/>
  <c r="AA17" i="2"/>
  <c r="AB17" i="2"/>
  <c r="AA18" i="2"/>
  <c r="AB18" i="2"/>
  <c r="AA19" i="2"/>
  <c r="AB19" i="2"/>
  <c r="AA20" i="2"/>
  <c r="AB20" i="2"/>
  <c r="AA21" i="2"/>
  <c r="AB21" i="2"/>
  <c r="AB15" i="2"/>
  <c r="AA15" i="2"/>
  <c r="Q41" i="2"/>
  <c r="Q36" i="2"/>
  <c r="R36" i="2"/>
  <c r="S36" i="2"/>
  <c r="T36" i="2"/>
  <c r="U36" i="2"/>
  <c r="V36" i="2"/>
  <c r="W36" i="2"/>
  <c r="X36" i="2"/>
  <c r="Y36" i="2"/>
  <c r="Z36" i="2"/>
  <c r="AA36" i="2"/>
  <c r="AB36" i="2"/>
  <c r="Q37" i="2"/>
  <c r="R37" i="2"/>
  <c r="S37" i="2"/>
  <c r="T37" i="2"/>
  <c r="U37" i="2"/>
  <c r="V37" i="2"/>
  <c r="W37" i="2"/>
  <c r="X37" i="2"/>
  <c r="Y37" i="2"/>
  <c r="Z37" i="2"/>
  <c r="AA37" i="2"/>
  <c r="AB37" i="2"/>
  <c r="Q38" i="2"/>
  <c r="R38" i="2"/>
  <c r="S38" i="2"/>
  <c r="T38" i="2"/>
  <c r="U38" i="2"/>
  <c r="V38" i="2"/>
  <c r="W38" i="2"/>
  <c r="X38" i="2"/>
  <c r="Y38" i="2"/>
  <c r="Z38" i="2"/>
  <c r="AA38" i="2"/>
  <c r="AB38" i="2"/>
  <c r="Q39" i="2"/>
  <c r="R39" i="2"/>
  <c r="S39" i="2"/>
  <c r="T39" i="2"/>
  <c r="U39" i="2"/>
  <c r="V39" i="2"/>
  <c r="W39" i="2"/>
  <c r="X39" i="2"/>
  <c r="Y39" i="2"/>
  <c r="Z39" i="2"/>
  <c r="AA39" i="2"/>
  <c r="AB39" i="2"/>
  <c r="Q40" i="2"/>
  <c r="R40" i="2"/>
  <c r="S40" i="2"/>
  <c r="T40" i="2"/>
  <c r="U40" i="2"/>
  <c r="V40" i="2"/>
  <c r="W40" i="2"/>
  <c r="X40" i="2"/>
  <c r="Y40" i="2"/>
  <c r="Z40" i="2"/>
  <c r="AA40" i="2"/>
  <c r="AB40" i="2"/>
  <c r="R41" i="2"/>
  <c r="S41" i="2"/>
  <c r="T41" i="2"/>
  <c r="U41" i="2"/>
  <c r="V41" i="2"/>
  <c r="W41" i="2"/>
  <c r="X41" i="2"/>
  <c r="Y41" i="2"/>
  <c r="Z41" i="2"/>
  <c r="AA41" i="2"/>
  <c r="AB41" i="2"/>
  <c r="AB35" i="2"/>
  <c r="AA35" i="2"/>
  <c r="Z35" i="2"/>
  <c r="Y35" i="2"/>
  <c r="X35" i="2"/>
  <c r="W35" i="2"/>
  <c r="V35" i="2"/>
  <c r="U35" i="2"/>
  <c r="T35" i="2"/>
  <c r="S35" i="2"/>
  <c r="R35" i="2"/>
  <c r="Q35" i="2"/>
  <c r="E20" i="2" l="1"/>
  <c r="R20" i="2" s="1"/>
  <c r="F20" i="2"/>
  <c r="S20" i="2" s="1"/>
  <c r="G20" i="2"/>
  <c r="T20" i="2" s="1"/>
  <c r="H20" i="2"/>
  <c r="U20" i="2" s="1"/>
  <c r="I20" i="2"/>
  <c r="V20" i="2" s="1"/>
  <c r="J20" i="2"/>
  <c r="W20" i="2" s="1"/>
  <c r="K20" i="2"/>
  <c r="X20" i="2" s="1"/>
  <c r="L20" i="2"/>
  <c r="Y20" i="2" s="1"/>
  <c r="M20" i="2"/>
  <c r="Z20" i="2" s="1"/>
  <c r="N20" i="2"/>
  <c r="O20" i="2"/>
  <c r="E19" i="2"/>
  <c r="R19" i="2" s="1"/>
  <c r="F19" i="2"/>
  <c r="S19" i="2" s="1"/>
  <c r="G19" i="2"/>
  <c r="T19" i="2" s="1"/>
  <c r="H19" i="2"/>
  <c r="U19" i="2" s="1"/>
  <c r="I19" i="2"/>
  <c r="V19" i="2" s="1"/>
  <c r="J19" i="2"/>
  <c r="W19" i="2" s="1"/>
  <c r="K19" i="2"/>
  <c r="X19" i="2" s="1"/>
  <c r="L19" i="2"/>
  <c r="Y19" i="2" s="1"/>
  <c r="M19" i="2"/>
  <c r="Z19" i="2" s="1"/>
  <c r="N19" i="2"/>
  <c r="O19" i="2"/>
  <c r="F18" i="2"/>
  <c r="J18" i="2"/>
  <c r="N18" i="2"/>
  <c r="D20" i="2"/>
  <c r="Q20" i="2" s="1"/>
  <c r="D19" i="2"/>
  <c r="Q19" i="2" s="1"/>
  <c r="E17" i="2"/>
  <c r="F17" i="2"/>
  <c r="G17" i="2"/>
  <c r="H17" i="2"/>
  <c r="I17" i="2"/>
  <c r="J17" i="2"/>
  <c r="K17" i="2"/>
  <c r="L17" i="2"/>
  <c r="M17" i="2"/>
  <c r="N17" i="2"/>
  <c r="O17" i="2"/>
  <c r="E16" i="2"/>
  <c r="R16" i="2" s="1"/>
  <c r="F16" i="2"/>
  <c r="S16" i="2" s="1"/>
  <c r="G16" i="2"/>
  <c r="T16" i="2" s="1"/>
  <c r="H16" i="2"/>
  <c r="U16" i="2" s="1"/>
  <c r="I16" i="2"/>
  <c r="V16" i="2" s="1"/>
  <c r="J16" i="2"/>
  <c r="W16" i="2" s="1"/>
  <c r="K16" i="2"/>
  <c r="X16" i="2" s="1"/>
  <c r="L16" i="2"/>
  <c r="Y16" i="2" s="1"/>
  <c r="M16" i="2"/>
  <c r="Z16" i="2" s="1"/>
  <c r="N16" i="2"/>
  <c r="O16" i="2"/>
  <c r="N15" i="2"/>
  <c r="D17" i="2"/>
  <c r="Q17" i="2" s="1"/>
  <c r="D16" i="2"/>
  <c r="Q16" i="2" s="1"/>
  <c r="C41" i="2"/>
  <c r="D41" i="2"/>
  <c r="E41" i="2"/>
  <c r="F41" i="2"/>
  <c r="G41" i="2"/>
  <c r="H41" i="2"/>
  <c r="I41" i="2"/>
  <c r="J41" i="2"/>
  <c r="K41" i="2"/>
  <c r="L41" i="2"/>
  <c r="M41" i="2"/>
  <c r="N41" i="2"/>
  <c r="O41" i="2"/>
  <c r="B41" i="2"/>
  <c r="C38" i="2"/>
  <c r="D38" i="2"/>
  <c r="E38" i="2"/>
  <c r="F38" i="2"/>
  <c r="G38" i="2"/>
  <c r="H38" i="2"/>
  <c r="I38" i="2"/>
  <c r="J38" i="2"/>
  <c r="K38" i="2"/>
  <c r="L38" i="2"/>
  <c r="M38" i="2"/>
  <c r="N38" i="2"/>
  <c r="O38" i="2"/>
  <c r="B38" i="2"/>
  <c r="C10" i="8"/>
  <c r="D10" i="8"/>
  <c r="E10" i="8"/>
  <c r="F10" i="8"/>
  <c r="G10" i="8"/>
  <c r="H10" i="8"/>
  <c r="I10" i="8"/>
  <c r="J10" i="8"/>
  <c r="K10" i="8"/>
  <c r="L10" i="8"/>
  <c r="M10" i="8"/>
  <c r="B10" i="8"/>
  <c r="C7" i="8"/>
  <c r="D7" i="8"/>
  <c r="E7" i="8"/>
  <c r="F7" i="8"/>
  <c r="G7" i="8"/>
  <c r="H7" i="8"/>
  <c r="I7" i="8"/>
  <c r="J7" i="8"/>
  <c r="K7" i="8"/>
  <c r="L7" i="8"/>
  <c r="M7" i="8"/>
  <c r="B7" i="8"/>
  <c r="L18" i="2" l="1"/>
  <c r="H18" i="2"/>
  <c r="Z17" i="2"/>
  <c r="X17" i="2"/>
  <c r="V17" i="2"/>
  <c r="T17" i="2"/>
  <c r="R17" i="2"/>
  <c r="Y17" i="2"/>
  <c r="W17" i="2"/>
  <c r="U17" i="2"/>
  <c r="S17" i="2"/>
  <c r="L15" i="2"/>
  <c r="J15" i="2"/>
  <c r="H15" i="2"/>
  <c r="F15" i="2"/>
  <c r="O18" i="2"/>
  <c r="M18" i="2"/>
  <c r="K18" i="2"/>
  <c r="I18" i="2"/>
  <c r="G18" i="2"/>
  <c r="E18" i="2"/>
  <c r="D18" i="2"/>
  <c r="O15" i="2"/>
  <c r="M15" i="2"/>
  <c r="K15" i="2"/>
  <c r="I15" i="2"/>
  <c r="G15" i="2"/>
  <c r="E15" i="2"/>
  <c r="D15" i="2"/>
  <c r="D21" i="2" s="1"/>
  <c r="E14" i="7"/>
  <c r="F14" i="7"/>
  <c r="G14" i="7"/>
  <c r="H14" i="7"/>
  <c r="I14" i="7"/>
  <c r="J14" i="7"/>
  <c r="K14" i="7"/>
  <c r="L14" i="7"/>
  <c r="M14" i="7"/>
  <c r="N14" i="7"/>
  <c r="O14" i="7"/>
  <c r="D14" i="7"/>
  <c r="E20" i="6"/>
  <c r="F20" i="6"/>
  <c r="G20" i="6"/>
  <c r="H20" i="6"/>
  <c r="U20" i="6" s="1"/>
  <c r="I20" i="6"/>
  <c r="J20" i="6"/>
  <c r="K20" i="6"/>
  <c r="L20" i="6"/>
  <c r="Z20" i="6" s="1"/>
  <c r="M20" i="6"/>
  <c r="N20" i="6"/>
  <c r="O20" i="6"/>
  <c r="D20" i="6"/>
  <c r="Q20" i="6" s="1"/>
  <c r="G19" i="6"/>
  <c r="H19" i="6"/>
  <c r="I19" i="6"/>
  <c r="J19" i="6"/>
  <c r="W19" i="6" s="1"/>
  <c r="K19" i="6"/>
  <c r="L19" i="6"/>
  <c r="Y19" i="6" s="1"/>
  <c r="M19" i="6"/>
  <c r="N19" i="6"/>
  <c r="O19" i="6"/>
  <c r="F19" i="6"/>
  <c r="E19" i="6"/>
  <c r="D19" i="6"/>
  <c r="Q19" i="6" s="1"/>
  <c r="AB24" i="3"/>
  <c r="AA24" i="3"/>
  <c r="Z24" i="3"/>
  <c r="Y24" i="3"/>
  <c r="X24" i="3"/>
  <c r="W24" i="3"/>
  <c r="V24" i="3"/>
  <c r="U24" i="3"/>
  <c r="T24" i="3"/>
  <c r="S24" i="3"/>
  <c r="R24" i="3"/>
  <c r="Q24" i="3"/>
  <c r="E28" i="2"/>
  <c r="F28" i="2"/>
  <c r="G28" i="2"/>
  <c r="H28" i="2"/>
  <c r="U28" i="2" s="1"/>
  <c r="I28" i="2"/>
  <c r="J28" i="2"/>
  <c r="K28" i="2"/>
  <c r="L28" i="2"/>
  <c r="M28" i="2"/>
  <c r="N28" i="2"/>
  <c r="O28" i="2"/>
  <c r="D28" i="2"/>
  <c r="Y28" i="2" s="1"/>
  <c r="H24" i="2"/>
  <c r="E24" i="2"/>
  <c r="F24" i="2"/>
  <c r="G24" i="2"/>
  <c r="I24" i="2"/>
  <c r="J24" i="2"/>
  <c r="K24" i="2"/>
  <c r="L24" i="2"/>
  <c r="M24" i="2"/>
  <c r="N24" i="2"/>
  <c r="O24" i="2"/>
  <c r="D24" i="2"/>
  <c r="AB31" i="2"/>
  <c r="AA31" i="2"/>
  <c r="Z31" i="2"/>
  <c r="Y31" i="2"/>
  <c r="X31" i="2"/>
  <c r="W31" i="2"/>
  <c r="V31" i="2"/>
  <c r="U31" i="2"/>
  <c r="T31" i="2"/>
  <c r="S31" i="2"/>
  <c r="R31" i="2"/>
  <c r="Q31" i="2"/>
  <c r="AB30" i="2"/>
  <c r="AA30" i="2"/>
  <c r="Z30" i="2"/>
  <c r="Y30" i="2"/>
  <c r="X30" i="2"/>
  <c r="W30" i="2"/>
  <c r="V30" i="2"/>
  <c r="U30" i="2"/>
  <c r="T30" i="2"/>
  <c r="S30" i="2"/>
  <c r="R30" i="2"/>
  <c r="Q30" i="2"/>
  <c r="AB29" i="2"/>
  <c r="AA29" i="2"/>
  <c r="Z29" i="2"/>
  <c r="Y29" i="2"/>
  <c r="X29" i="2"/>
  <c r="W29" i="2"/>
  <c r="V29" i="2"/>
  <c r="U29" i="2"/>
  <c r="T29" i="2"/>
  <c r="S29" i="2"/>
  <c r="R29" i="2"/>
  <c r="Q29" i="2"/>
  <c r="AB28" i="2"/>
  <c r="AA28" i="2"/>
  <c r="AB27" i="2"/>
  <c r="AA27" i="2"/>
  <c r="Z27" i="2"/>
  <c r="Y27" i="2"/>
  <c r="X27" i="2"/>
  <c r="W27" i="2"/>
  <c r="V27" i="2"/>
  <c r="U27" i="2"/>
  <c r="T27" i="2"/>
  <c r="S27" i="2"/>
  <c r="R27" i="2"/>
  <c r="Q27" i="2"/>
  <c r="AB26" i="2"/>
  <c r="AA26" i="2"/>
  <c r="Z26" i="2"/>
  <c r="Y26" i="2"/>
  <c r="X26" i="2"/>
  <c r="W26" i="2"/>
  <c r="V26" i="2"/>
  <c r="U26" i="2"/>
  <c r="T26" i="2"/>
  <c r="S26" i="2"/>
  <c r="R26" i="2"/>
  <c r="Q26" i="2"/>
  <c r="AB25" i="2"/>
  <c r="AA25" i="2"/>
  <c r="Z25" i="2"/>
  <c r="Y25" i="2"/>
  <c r="X25" i="2"/>
  <c r="W25" i="2"/>
  <c r="V25" i="2"/>
  <c r="U25" i="2"/>
  <c r="T25" i="2"/>
  <c r="S25" i="2"/>
  <c r="R25" i="2"/>
  <c r="Q25" i="2"/>
  <c r="AB24" i="2"/>
  <c r="AA24" i="2"/>
  <c r="V24" i="2"/>
  <c r="R24" i="2"/>
  <c r="E29" i="6"/>
  <c r="F29" i="6"/>
  <c r="G29" i="6"/>
  <c r="H29" i="6"/>
  <c r="V29" i="6" s="1"/>
  <c r="I29" i="6"/>
  <c r="J29" i="6"/>
  <c r="W29" i="6" s="1"/>
  <c r="K29" i="6"/>
  <c r="L29" i="6"/>
  <c r="Y29" i="6" s="1"/>
  <c r="M29" i="6"/>
  <c r="N29" i="6"/>
  <c r="AA29" i="6" s="1"/>
  <c r="O29" i="6"/>
  <c r="E26" i="6"/>
  <c r="F26" i="6"/>
  <c r="G26" i="6"/>
  <c r="H26" i="6"/>
  <c r="I26" i="6"/>
  <c r="J26" i="6"/>
  <c r="K26" i="6"/>
  <c r="L26" i="6"/>
  <c r="M26" i="6"/>
  <c r="N26" i="6"/>
  <c r="O26" i="6"/>
  <c r="D29" i="6"/>
  <c r="Q29" i="6" s="1"/>
  <c r="D26" i="6"/>
  <c r="S26" i="6" s="1"/>
  <c r="R19" i="6"/>
  <c r="T19" i="6"/>
  <c r="V19" i="6"/>
  <c r="X19" i="6"/>
  <c r="Z19" i="6"/>
  <c r="AA19" i="6"/>
  <c r="AB19" i="6"/>
  <c r="R20" i="6"/>
  <c r="S20" i="6"/>
  <c r="T20" i="6"/>
  <c r="V20" i="6"/>
  <c r="X20" i="6"/>
  <c r="AA20" i="6"/>
  <c r="AB20" i="6"/>
  <c r="Q21" i="6"/>
  <c r="R21" i="6"/>
  <c r="S21" i="6"/>
  <c r="T21" i="6"/>
  <c r="U21" i="6"/>
  <c r="V21" i="6"/>
  <c r="W21" i="6"/>
  <c r="X21" i="6"/>
  <c r="Y21" i="6"/>
  <c r="Z21" i="6"/>
  <c r="AA21" i="6"/>
  <c r="AB21" i="6"/>
  <c r="Q22" i="6"/>
  <c r="R22" i="6"/>
  <c r="S22" i="6"/>
  <c r="T22" i="6"/>
  <c r="U22" i="6"/>
  <c r="V22" i="6"/>
  <c r="W22" i="6"/>
  <c r="X22" i="6"/>
  <c r="Y22" i="6"/>
  <c r="Z22" i="6"/>
  <c r="AA22" i="6"/>
  <c r="AB22" i="6"/>
  <c r="Q23" i="6"/>
  <c r="R23" i="6"/>
  <c r="S23" i="6"/>
  <c r="T23" i="6"/>
  <c r="U23" i="6"/>
  <c r="V23" i="6"/>
  <c r="W23" i="6"/>
  <c r="X23" i="6"/>
  <c r="Y23" i="6"/>
  <c r="Z23" i="6"/>
  <c r="AA23" i="6"/>
  <c r="AB23" i="6"/>
  <c r="Q24" i="6"/>
  <c r="R24" i="6"/>
  <c r="S24" i="6"/>
  <c r="T24" i="6"/>
  <c r="U24" i="6"/>
  <c r="V24" i="6"/>
  <c r="W24" i="6"/>
  <c r="X24" i="6"/>
  <c r="Y24" i="6"/>
  <c r="Z24" i="6"/>
  <c r="AA24" i="6"/>
  <c r="AB24" i="6"/>
  <c r="Q27" i="6"/>
  <c r="R27" i="6"/>
  <c r="S27" i="6"/>
  <c r="T27" i="6"/>
  <c r="U27" i="6"/>
  <c r="V27" i="6"/>
  <c r="W27" i="6"/>
  <c r="X27" i="6"/>
  <c r="Y27" i="6"/>
  <c r="Z27" i="6"/>
  <c r="AA27" i="6"/>
  <c r="AB27" i="6"/>
  <c r="Q28" i="6"/>
  <c r="R28" i="6"/>
  <c r="S28" i="6"/>
  <c r="T28" i="6"/>
  <c r="U28" i="6"/>
  <c r="V28" i="6"/>
  <c r="W28" i="6"/>
  <c r="X28" i="6"/>
  <c r="Y28" i="6"/>
  <c r="Z28" i="6"/>
  <c r="AA28" i="6"/>
  <c r="AB28" i="6"/>
  <c r="R29" i="6"/>
  <c r="S29" i="6"/>
  <c r="T29" i="6"/>
  <c r="U29" i="6"/>
  <c r="Q30" i="6"/>
  <c r="R30" i="6"/>
  <c r="S30" i="6"/>
  <c r="T30" i="6"/>
  <c r="U30" i="6"/>
  <c r="V30" i="6"/>
  <c r="W30" i="6"/>
  <c r="X30" i="6"/>
  <c r="Y30" i="6"/>
  <c r="Z30" i="6"/>
  <c r="AA30" i="6"/>
  <c r="AB30" i="6"/>
  <c r="Q31" i="6"/>
  <c r="R31" i="6"/>
  <c r="S31" i="6"/>
  <c r="T31" i="6"/>
  <c r="U31" i="6"/>
  <c r="V31" i="6"/>
  <c r="W31" i="6"/>
  <c r="X31" i="6"/>
  <c r="Y31" i="6"/>
  <c r="Z31" i="6"/>
  <c r="AA31" i="6"/>
  <c r="AB31" i="6"/>
  <c r="Q32" i="6"/>
  <c r="R32" i="6"/>
  <c r="S32" i="6"/>
  <c r="T32" i="6"/>
  <c r="U32" i="6"/>
  <c r="V32" i="6"/>
  <c r="W32" i="6"/>
  <c r="X32" i="6"/>
  <c r="Y32" i="6"/>
  <c r="Z32" i="6"/>
  <c r="AA32" i="6"/>
  <c r="AB32" i="6"/>
  <c r="Q33" i="6"/>
  <c r="R33" i="6"/>
  <c r="S33" i="6"/>
  <c r="T33" i="6"/>
  <c r="U33" i="6"/>
  <c r="V33" i="6"/>
  <c r="W33" i="6"/>
  <c r="X33" i="6"/>
  <c r="Y33" i="6"/>
  <c r="Z33" i="6"/>
  <c r="AA33" i="6"/>
  <c r="AB33" i="6"/>
  <c r="Q34" i="6"/>
  <c r="R34" i="6"/>
  <c r="S34" i="6"/>
  <c r="T34" i="6"/>
  <c r="U34" i="6"/>
  <c r="V34" i="6"/>
  <c r="W34" i="6"/>
  <c r="X34" i="6"/>
  <c r="Y34" i="6"/>
  <c r="Z34" i="6"/>
  <c r="AA34" i="6"/>
  <c r="AB34" i="6"/>
  <c r="Y7" i="7"/>
  <c r="Y6" i="7"/>
  <c r="Y5" i="7"/>
  <c r="X7" i="7"/>
  <c r="X6" i="7"/>
  <c r="X5" i="7"/>
  <c r="W7" i="7"/>
  <c r="W6" i="7"/>
  <c r="W5" i="7"/>
  <c r="V7" i="7"/>
  <c r="V6" i="7"/>
  <c r="V5" i="7"/>
  <c r="U7" i="7"/>
  <c r="U6" i="7"/>
  <c r="U5" i="7"/>
  <c r="T7" i="7"/>
  <c r="T6" i="7"/>
  <c r="T5" i="7"/>
  <c r="S7" i="7"/>
  <c r="S6" i="7"/>
  <c r="S5" i="7"/>
  <c r="R7" i="7"/>
  <c r="R6" i="7"/>
  <c r="R5" i="7"/>
  <c r="Q7" i="7"/>
  <c r="Q6" i="7"/>
  <c r="Q5" i="7"/>
  <c r="B29" i="6"/>
  <c r="B26" i="6"/>
  <c r="B19" i="6"/>
  <c r="O1" i="7"/>
  <c r="J1" i="7"/>
  <c r="O10" i="7"/>
  <c r="N10" i="7"/>
  <c r="M10" i="7"/>
  <c r="L10" i="7"/>
  <c r="K10" i="7"/>
  <c r="J10" i="7"/>
  <c r="I10" i="7"/>
  <c r="H10" i="7"/>
  <c r="G10" i="7"/>
  <c r="F10" i="7"/>
  <c r="E10" i="7"/>
  <c r="D10" i="7"/>
  <c r="AB4" i="7"/>
  <c r="AA4" i="7"/>
  <c r="Z4" i="7"/>
  <c r="Y4" i="7"/>
  <c r="X4" i="7"/>
  <c r="W4" i="7"/>
  <c r="V4" i="7"/>
  <c r="U4" i="7"/>
  <c r="T4" i="7"/>
  <c r="S4" i="7"/>
  <c r="R4" i="7"/>
  <c r="Q4" i="7"/>
  <c r="C80" i="8"/>
  <c r="R8" i="7" s="1"/>
  <c r="D80" i="8"/>
  <c r="S8" i="7" s="1"/>
  <c r="E80" i="8"/>
  <c r="T8" i="7" s="1"/>
  <c r="F80" i="8"/>
  <c r="U8" i="7" s="1"/>
  <c r="G80" i="8"/>
  <c r="H80" i="8"/>
  <c r="I80" i="8"/>
  <c r="X8" i="7" s="1"/>
  <c r="J80" i="8"/>
  <c r="K80" i="8"/>
  <c r="L80" i="8"/>
  <c r="M80" i="8"/>
  <c r="B80" i="8"/>
  <c r="Q8" i="7" s="1"/>
  <c r="B14" i="7"/>
  <c r="A73" i="8"/>
  <c r="C10" i="7"/>
  <c r="B10" i="7"/>
  <c r="Q26" i="6" l="1"/>
  <c r="V8" i="7"/>
  <c r="W8" i="7"/>
  <c r="Y8" i="7"/>
  <c r="AB8" i="7"/>
  <c r="AA8" i="7"/>
  <c r="Z8" i="7"/>
  <c r="O5" i="1"/>
  <c r="AB29" i="6"/>
  <c r="Z29" i="6"/>
  <c r="X29" i="6"/>
  <c r="Y26" i="6"/>
  <c r="U26" i="6"/>
  <c r="AA26" i="6"/>
  <c r="W26" i="6"/>
  <c r="AB26" i="6"/>
  <c r="Z26" i="6"/>
  <c r="X26" i="6"/>
  <c r="V26" i="6"/>
  <c r="T26" i="6"/>
  <c r="R26" i="6"/>
  <c r="Q28" i="2"/>
  <c r="Q18" i="2"/>
  <c r="S18" i="2"/>
  <c r="U18" i="2"/>
  <c r="W18" i="2"/>
  <c r="Y18" i="2"/>
  <c r="R18" i="2"/>
  <c r="T18" i="2"/>
  <c r="V18" i="2"/>
  <c r="X18" i="2"/>
  <c r="Z18" i="2"/>
  <c r="Z24" i="2"/>
  <c r="Y24" i="2"/>
  <c r="X24" i="2"/>
  <c r="T24" i="2"/>
  <c r="Q24" i="2"/>
  <c r="S24" i="2"/>
  <c r="U24" i="2"/>
  <c r="W24" i="2"/>
  <c r="Z15" i="2"/>
  <c r="T15" i="2"/>
  <c r="Y15" i="2"/>
  <c r="W15" i="2"/>
  <c r="U15" i="2"/>
  <c r="S15" i="2"/>
  <c r="Q15" i="2"/>
  <c r="X15" i="2"/>
  <c r="V15" i="2"/>
  <c r="R15" i="2"/>
  <c r="Q21" i="2"/>
  <c r="W20" i="6"/>
  <c r="Y20" i="6"/>
  <c r="S19" i="6"/>
  <c r="U19" i="6"/>
  <c r="Z28" i="2"/>
  <c r="S28" i="2"/>
  <c r="W28" i="2"/>
  <c r="R28" i="2"/>
  <c r="T28" i="2"/>
  <c r="V28" i="2"/>
  <c r="X28" i="2"/>
  <c r="O1" i="6"/>
  <c r="J1" i="6"/>
  <c r="C51" i="8"/>
  <c r="D51" i="8"/>
  <c r="E51" i="8"/>
  <c r="F51" i="8"/>
  <c r="G51" i="8"/>
  <c r="H51" i="8"/>
  <c r="I51" i="8"/>
  <c r="J51" i="8"/>
  <c r="K51" i="8"/>
  <c r="L51" i="8"/>
  <c r="M51" i="8"/>
  <c r="B51" i="8"/>
  <c r="C48" i="8"/>
  <c r="D48" i="8"/>
  <c r="E48" i="8"/>
  <c r="F48" i="8"/>
  <c r="G48" i="8"/>
  <c r="H48" i="8"/>
  <c r="I48" i="8"/>
  <c r="J48" i="8"/>
  <c r="K48" i="8"/>
  <c r="L48" i="8"/>
  <c r="M48" i="8"/>
  <c r="B48" i="8"/>
  <c r="B62" i="8" s="1"/>
  <c r="C45" i="8"/>
  <c r="D45" i="8"/>
  <c r="E45" i="8"/>
  <c r="F45" i="8"/>
  <c r="G45" i="8"/>
  <c r="H45" i="8"/>
  <c r="I45" i="8"/>
  <c r="J45" i="8"/>
  <c r="K45" i="8"/>
  <c r="L45" i="8"/>
  <c r="M45" i="8"/>
  <c r="B45" i="8"/>
  <c r="B60" i="8"/>
  <c r="Q6" i="6" s="1"/>
  <c r="C60" i="8"/>
  <c r="R6" i="6" s="1"/>
  <c r="D60" i="8"/>
  <c r="S6" i="6" s="1"/>
  <c r="E60" i="8"/>
  <c r="T6" i="6" s="1"/>
  <c r="F60" i="8"/>
  <c r="U6" i="6" s="1"/>
  <c r="G60" i="8"/>
  <c r="V6" i="6" s="1"/>
  <c r="H60" i="8"/>
  <c r="W6" i="6" s="1"/>
  <c r="I60" i="8"/>
  <c r="X6" i="6" s="1"/>
  <c r="J60" i="8"/>
  <c r="Y6" i="6" s="1"/>
  <c r="K60" i="8"/>
  <c r="Z6" i="6" s="1"/>
  <c r="L60" i="8"/>
  <c r="M60" i="8"/>
  <c r="B61" i="8"/>
  <c r="Q7" i="6" s="1"/>
  <c r="C61" i="8"/>
  <c r="R7" i="6" s="1"/>
  <c r="D61" i="8"/>
  <c r="S7" i="6" s="1"/>
  <c r="E61" i="8"/>
  <c r="T7" i="6" s="1"/>
  <c r="F61" i="8"/>
  <c r="U7" i="6" s="1"/>
  <c r="G61" i="8"/>
  <c r="V7" i="6" s="1"/>
  <c r="H61" i="8"/>
  <c r="W7" i="6" s="1"/>
  <c r="I61" i="8"/>
  <c r="X7" i="6" s="1"/>
  <c r="J61" i="8"/>
  <c r="Y7" i="6" s="1"/>
  <c r="K61" i="8"/>
  <c r="Z7" i="6" s="1"/>
  <c r="L61" i="8"/>
  <c r="M61" i="8"/>
  <c r="AB7" i="6" s="1"/>
  <c r="D62" i="8"/>
  <c r="S8" i="6" s="1"/>
  <c r="B63" i="8"/>
  <c r="Q9" i="6" s="1"/>
  <c r="C63" i="8"/>
  <c r="R9" i="6" s="1"/>
  <c r="D63" i="8"/>
  <c r="S9" i="6" s="1"/>
  <c r="E63" i="8"/>
  <c r="T9" i="6" s="1"/>
  <c r="F63" i="8"/>
  <c r="U9" i="6" s="1"/>
  <c r="G63" i="8"/>
  <c r="V9" i="6" s="1"/>
  <c r="H63" i="8"/>
  <c r="W9" i="6" s="1"/>
  <c r="I63" i="8"/>
  <c r="X9" i="6" s="1"/>
  <c r="J63" i="8"/>
  <c r="Y9" i="6" s="1"/>
  <c r="K63" i="8"/>
  <c r="Z9" i="6" s="1"/>
  <c r="L63" i="8"/>
  <c r="AA9" i="6" s="1"/>
  <c r="M63" i="8"/>
  <c r="AB9" i="6" s="1"/>
  <c r="B64" i="8"/>
  <c r="Q10" i="6" s="1"/>
  <c r="C64" i="8"/>
  <c r="R10" i="6" s="1"/>
  <c r="D64" i="8"/>
  <c r="S10" i="6" s="1"/>
  <c r="E64" i="8"/>
  <c r="T10" i="6" s="1"/>
  <c r="F64" i="8"/>
  <c r="U10" i="6" s="1"/>
  <c r="G64" i="8"/>
  <c r="V10" i="6" s="1"/>
  <c r="H64" i="8"/>
  <c r="W10" i="6" s="1"/>
  <c r="I64" i="8"/>
  <c r="X10" i="6" s="1"/>
  <c r="J64" i="8"/>
  <c r="Y10" i="6" s="1"/>
  <c r="K64" i="8"/>
  <c r="Z10" i="6" s="1"/>
  <c r="L64" i="8"/>
  <c r="AA10" i="6" s="1"/>
  <c r="M64" i="8"/>
  <c r="AB10" i="6" s="1"/>
  <c r="B65" i="8"/>
  <c r="Q11" i="6" s="1"/>
  <c r="D65" i="8"/>
  <c r="S11" i="6" s="1"/>
  <c r="B66" i="8"/>
  <c r="Q12" i="6" s="1"/>
  <c r="C66" i="8"/>
  <c r="R12" i="6" s="1"/>
  <c r="D66" i="8"/>
  <c r="S12" i="6" s="1"/>
  <c r="E66" i="8"/>
  <c r="T12" i="6" s="1"/>
  <c r="F66" i="8"/>
  <c r="U12" i="6" s="1"/>
  <c r="G66" i="8"/>
  <c r="V12" i="6" s="1"/>
  <c r="H66" i="8"/>
  <c r="W12" i="6" s="1"/>
  <c r="I66" i="8"/>
  <c r="X12" i="6" s="1"/>
  <c r="J66" i="8"/>
  <c r="Y12" i="6" s="1"/>
  <c r="K66" i="8"/>
  <c r="Z12" i="6" s="1"/>
  <c r="L66" i="8"/>
  <c r="AA12" i="6" s="1"/>
  <c r="M66" i="8"/>
  <c r="AB12" i="6" s="1"/>
  <c r="B67" i="8"/>
  <c r="Q13" i="6" s="1"/>
  <c r="C67" i="8"/>
  <c r="R13" i="6" s="1"/>
  <c r="D67" i="8"/>
  <c r="S13" i="6" s="1"/>
  <c r="E67" i="8"/>
  <c r="T13" i="6" s="1"/>
  <c r="F67" i="8"/>
  <c r="U13" i="6" s="1"/>
  <c r="G67" i="8"/>
  <c r="V13" i="6" s="1"/>
  <c r="H67" i="8"/>
  <c r="W13" i="6" s="1"/>
  <c r="I67" i="8"/>
  <c r="X13" i="6" s="1"/>
  <c r="J67" i="8"/>
  <c r="Y13" i="6" s="1"/>
  <c r="K67" i="8"/>
  <c r="Z13" i="6" s="1"/>
  <c r="L67" i="8"/>
  <c r="AA13" i="6" s="1"/>
  <c r="M67" i="8"/>
  <c r="AB13" i="6" s="1"/>
  <c r="B68" i="8"/>
  <c r="Q14" i="6" s="1"/>
  <c r="C68" i="8"/>
  <c r="R14" i="6" s="1"/>
  <c r="D68" i="8"/>
  <c r="S14" i="6" s="1"/>
  <c r="E68" i="8"/>
  <c r="T14" i="6" s="1"/>
  <c r="F68" i="8"/>
  <c r="U14" i="6" s="1"/>
  <c r="G68" i="8"/>
  <c r="V14" i="6" s="1"/>
  <c r="H68" i="8"/>
  <c r="W14" i="6" s="1"/>
  <c r="I68" i="8"/>
  <c r="X14" i="6" s="1"/>
  <c r="J68" i="8"/>
  <c r="Y14" i="6" s="1"/>
  <c r="K68" i="8"/>
  <c r="Z14" i="6" s="1"/>
  <c r="L68" i="8"/>
  <c r="AA14" i="6" s="1"/>
  <c r="M68" i="8"/>
  <c r="AB14" i="6" s="1"/>
  <c r="B69" i="8"/>
  <c r="Q15" i="6" s="1"/>
  <c r="C69" i="8"/>
  <c r="R15" i="6" s="1"/>
  <c r="D69" i="8"/>
  <c r="S15" i="6" s="1"/>
  <c r="E69" i="8"/>
  <c r="T15" i="6" s="1"/>
  <c r="F69" i="8"/>
  <c r="U15" i="6" s="1"/>
  <c r="G69" i="8"/>
  <c r="V15" i="6" s="1"/>
  <c r="H69" i="8"/>
  <c r="W15" i="6" s="1"/>
  <c r="I69" i="8"/>
  <c r="X15" i="6" s="1"/>
  <c r="J69" i="8"/>
  <c r="Y15" i="6" s="1"/>
  <c r="K69" i="8"/>
  <c r="Z15" i="6" s="1"/>
  <c r="L69" i="8"/>
  <c r="AA15" i="6" s="1"/>
  <c r="M69" i="8"/>
  <c r="AB15" i="6" s="1"/>
  <c r="B70" i="8"/>
  <c r="Q16" i="6" s="1"/>
  <c r="C70" i="8"/>
  <c r="R16" i="6" s="1"/>
  <c r="D70" i="8"/>
  <c r="S16" i="6" s="1"/>
  <c r="E70" i="8"/>
  <c r="T16" i="6" s="1"/>
  <c r="F70" i="8"/>
  <c r="U16" i="6" s="1"/>
  <c r="G70" i="8"/>
  <c r="V16" i="6" s="1"/>
  <c r="H70" i="8"/>
  <c r="W16" i="6" s="1"/>
  <c r="I70" i="8"/>
  <c r="X16" i="6" s="1"/>
  <c r="J70" i="8"/>
  <c r="Y16" i="6" s="1"/>
  <c r="K70" i="8"/>
  <c r="Z16" i="6" s="1"/>
  <c r="L70" i="8"/>
  <c r="AA16" i="6" s="1"/>
  <c r="M70" i="8"/>
  <c r="AB16" i="6" s="1"/>
  <c r="M40" i="8"/>
  <c r="M37" i="8"/>
  <c r="AB7" i="3" s="1"/>
  <c r="M38" i="8"/>
  <c r="AB8" i="3" s="1"/>
  <c r="M39" i="8"/>
  <c r="AB9" i="3" s="1"/>
  <c r="L37" i="8"/>
  <c r="AA7" i="3" s="1"/>
  <c r="L38" i="8"/>
  <c r="AA8" i="3" s="1"/>
  <c r="L39" i="8"/>
  <c r="AA9" i="3" s="1"/>
  <c r="L40" i="8"/>
  <c r="K37" i="8"/>
  <c r="Z7" i="3" s="1"/>
  <c r="K38" i="8"/>
  <c r="Z8" i="3" s="1"/>
  <c r="K39" i="8"/>
  <c r="Z9" i="3" s="1"/>
  <c r="K40" i="8"/>
  <c r="J37" i="8"/>
  <c r="Y7" i="3" s="1"/>
  <c r="J38" i="8"/>
  <c r="Y8" i="3" s="1"/>
  <c r="J39" i="8"/>
  <c r="Y9" i="3" s="1"/>
  <c r="J40" i="8"/>
  <c r="I37" i="8"/>
  <c r="X7" i="3" s="1"/>
  <c r="I38" i="8"/>
  <c r="X8" i="3" s="1"/>
  <c r="I39" i="8"/>
  <c r="X9" i="3" s="1"/>
  <c r="I40" i="8"/>
  <c r="H37" i="8"/>
  <c r="W7" i="3" s="1"/>
  <c r="H38" i="8"/>
  <c r="W8" i="3" s="1"/>
  <c r="H39" i="8"/>
  <c r="W9" i="3" s="1"/>
  <c r="H40" i="8"/>
  <c r="G37" i="8"/>
  <c r="V7" i="3" s="1"/>
  <c r="G38" i="8"/>
  <c r="V8" i="3" s="1"/>
  <c r="G39" i="8"/>
  <c r="V9" i="3" s="1"/>
  <c r="G40" i="8"/>
  <c r="F37" i="8"/>
  <c r="U7" i="3" s="1"/>
  <c r="F38" i="8"/>
  <c r="U8" i="3" s="1"/>
  <c r="F39" i="8"/>
  <c r="U9" i="3" s="1"/>
  <c r="F40" i="8"/>
  <c r="E37" i="8"/>
  <c r="T7" i="3" s="1"/>
  <c r="E38" i="8"/>
  <c r="T8" i="3" s="1"/>
  <c r="E39" i="8"/>
  <c r="T9" i="3" s="1"/>
  <c r="E40" i="8"/>
  <c r="D37" i="8"/>
  <c r="S7" i="3" s="1"/>
  <c r="D38" i="8"/>
  <c r="S8" i="3" s="1"/>
  <c r="D39" i="8"/>
  <c r="S9" i="3" s="1"/>
  <c r="D40" i="8"/>
  <c r="C37" i="8"/>
  <c r="R7" i="3" s="1"/>
  <c r="C38" i="8"/>
  <c r="R8" i="3" s="1"/>
  <c r="C39" i="8"/>
  <c r="R9" i="3" s="1"/>
  <c r="C40" i="8"/>
  <c r="B37" i="8"/>
  <c r="Q7" i="3" s="1"/>
  <c r="B38" i="8"/>
  <c r="Q8" i="3" s="1"/>
  <c r="B39" i="8"/>
  <c r="Q9" i="3" s="1"/>
  <c r="B40" i="8"/>
  <c r="M35" i="8"/>
  <c r="L35" i="8"/>
  <c r="K35" i="8"/>
  <c r="J35" i="8"/>
  <c r="I35" i="8"/>
  <c r="H35" i="8"/>
  <c r="G35" i="8"/>
  <c r="F35" i="8"/>
  <c r="E35" i="8"/>
  <c r="D35" i="8"/>
  <c r="C35" i="8"/>
  <c r="B35" i="8"/>
  <c r="B16" i="8"/>
  <c r="C16" i="8"/>
  <c r="R7" i="2" s="1"/>
  <c r="D16" i="8"/>
  <c r="E16" i="8"/>
  <c r="F16" i="8"/>
  <c r="U7" i="2" s="1"/>
  <c r="G16" i="8"/>
  <c r="V7" i="2" s="1"/>
  <c r="H16" i="8"/>
  <c r="I16" i="8"/>
  <c r="J16" i="8"/>
  <c r="K16" i="8"/>
  <c r="L16" i="8"/>
  <c r="M16" i="8"/>
  <c r="B17" i="8"/>
  <c r="Q8" i="2" s="1"/>
  <c r="C17" i="8"/>
  <c r="R8" i="2" s="1"/>
  <c r="D17" i="8"/>
  <c r="S8" i="2" s="1"/>
  <c r="E17" i="8"/>
  <c r="T8" i="2" s="1"/>
  <c r="F17" i="8"/>
  <c r="U8" i="2" s="1"/>
  <c r="G17" i="8"/>
  <c r="V8" i="2" s="1"/>
  <c r="H17" i="8"/>
  <c r="W8" i="2" s="1"/>
  <c r="I17" i="8"/>
  <c r="X8" i="2" s="1"/>
  <c r="J17" i="8"/>
  <c r="Y8" i="2" s="1"/>
  <c r="K17" i="8"/>
  <c r="Z8" i="2" s="1"/>
  <c r="L17" i="8"/>
  <c r="M17" i="8"/>
  <c r="B18" i="8"/>
  <c r="Q9" i="2" s="1"/>
  <c r="C18" i="8"/>
  <c r="R9" i="2" s="1"/>
  <c r="D18" i="8"/>
  <c r="S9" i="2" s="1"/>
  <c r="E18" i="8"/>
  <c r="T9" i="2" s="1"/>
  <c r="F18" i="8"/>
  <c r="U9" i="2" s="1"/>
  <c r="G18" i="8"/>
  <c r="V9" i="2" s="1"/>
  <c r="H18" i="8"/>
  <c r="W9" i="2" s="1"/>
  <c r="I18" i="8"/>
  <c r="X9" i="2" s="1"/>
  <c r="J18" i="8"/>
  <c r="Y9" i="2" s="1"/>
  <c r="K18" i="8"/>
  <c r="Z9" i="2" s="1"/>
  <c r="L18" i="8"/>
  <c r="AA9" i="2" s="1"/>
  <c r="M18" i="8"/>
  <c r="AB9" i="2" s="1"/>
  <c r="B19" i="8"/>
  <c r="Q10" i="2" s="1"/>
  <c r="C19" i="8"/>
  <c r="D19" i="8"/>
  <c r="E19" i="8"/>
  <c r="F19" i="8"/>
  <c r="U10" i="2" s="1"/>
  <c r="G19" i="8"/>
  <c r="H19" i="8"/>
  <c r="I19" i="8"/>
  <c r="J19" i="8"/>
  <c r="Y10" i="2" s="1"/>
  <c r="K19" i="8"/>
  <c r="L19" i="8"/>
  <c r="M19" i="8"/>
  <c r="B20" i="8"/>
  <c r="Q11" i="2" s="1"/>
  <c r="C20" i="8"/>
  <c r="R11" i="2" s="1"/>
  <c r="D20" i="8"/>
  <c r="S11" i="2" s="1"/>
  <c r="E20" i="8"/>
  <c r="T11" i="2" s="1"/>
  <c r="F20" i="8"/>
  <c r="U11" i="2" s="1"/>
  <c r="G20" i="8"/>
  <c r="V11" i="2" s="1"/>
  <c r="H20" i="8"/>
  <c r="W11" i="2" s="1"/>
  <c r="I20" i="8"/>
  <c r="X11" i="2" s="1"/>
  <c r="J20" i="8"/>
  <c r="Y11" i="2" s="1"/>
  <c r="K20" i="8"/>
  <c r="Z11" i="2" s="1"/>
  <c r="L20" i="8"/>
  <c r="M20" i="8"/>
  <c r="B21" i="8"/>
  <c r="Q12" i="2" s="1"/>
  <c r="C21" i="8"/>
  <c r="R12" i="2" s="1"/>
  <c r="D21" i="8"/>
  <c r="S12" i="2" s="1"/>
  <c r="E21" i="8"/>
  <c r="T12" i="2" s="1"/>
  <c r="F21" i="8"/>
  <c r="U12" i="2" s="1"/>
  <c r="G21" i="8"/>
  <c r="V12" i="2" s="1"/>
  <c r="H21" i="8"/>
  <c r="W12" i="2" s="1"/>
  <c r="I21" i="8"/>
  <c r="X12" i="2" s="1"/>
  <c r="J21" i="8"/>
  <c r="Y12" i="2" s="1"/>
  <c r="K21" i="8"/>
  <c r="Z12" i="2" s="1"/>
  <c r="L21" i="8"/>
  <c r="AA12" i="2" s="1"/>
  <c r="M21" i="8"/>
  <c r="AB12" i="2" s="1"/>
  <c r="M15" i="8"/>
  <c r="L15" i="8"/>
  <c r="K15" i="8"/>
  <c r="Z6" i="2" s="1"/>
  <c r="J15" i="8"/>
  <c r="I15" i="8"/>
  <c r="H15" i="8"/>
  <c r="W6" i="2" s="1"/>
  <c r="G15" i="8"/>
  <c r="V6" i="2" s="1"/>
  <c r="F15" i="8"/>
  <c r="U6" i="2" s="1"/>
  <c r="E15" i="8"/>
  <c r="T6" i="2" s="1"/>
  <c r="D15" i="8"/>
  <c r="S6" i="2" s="1"/>
  <c r="C15" i="8"/>
  <c r="R6" i="2" s="1"/>
  <c r="B15" i="8"/>
  <c r="Q6" i="2" s="1"/>
  <c r="M14" i="8"/>
  <c r="M34" i="8" s="1"/>
  <c r="M58" i="8" s="1"/>
  <c r="M76" i="8" s="1"/>
  <c r="L14" i="8"/>
  <c r="L34" i="8" s="1"/>
  <c r="L58" i="8" s="1"/>
  <c r="L76" i="8" s="1"/>
  <c r="K14" i="8"/>
  <c r="K34" i="8" s="1"/>
  <c r="K58" i="8" s="1"/>
  <c r="K76" i="8" s="1"/>
  <c r="J14" i="8"/>
  <c r="J34" i="8" s="1"/>
  <c r="J58" i="8" s="1"/>
  <c r="J76" i="8" s="1"/>
  <c r="I14" i="8"/>
  <c r="I34" i="8" s="1"/>
  <c r="I58" i="8" s="1"/>
  <c r="I76" i="8" s="1"/>
  <c r="H14" i="8"/>
  <c r="H34" i="8" s="1"/>
  <c r="H58" i="8" s="1"/>
  <c r="H76" i="8" s="1"/>
  <c r="G14" i="8"/>
  <c r="G34" i="8" s="1"/>
  <c r="G58" i="8" s="1"/>
  <c r="G76" i="8" s="1"/>
  <c r="F14" i="8"/>
  <c r="F34" i="8" s="1"/>
  <c r="F58" i="8" s="1"/>
  <c r="F76" i="8" s="1"/>
  <c r="E14" i="8"/>
  <c r="E34" i="8" s="1"/>
  <c r="E58" i="8" s="1"/>
  <c r="E76" i="8" s="1"/>
  <c r="D14" i="8"/>
  <c r="D34" i="8" s="1"/>
  <c r="D58" i="8" s="1"/>
  <c r="D76" i="8" s="1"/>
  <c r="C14" i="8"/>
  <c r="C34" i="8" s="1"/>
  <c r="C58" i="8" s="1"/>
  <c r="C76" i="8" s="1"/>
  <c r="B14" i="8"/>
  <c r="B34" i="8" s="1"/>
  <c r="B58" i="8" s="1"/>
  <c r="B76" i="8" s="1"/>
  <c r="A42" i="8"/>
  <c r="A24" i="8"/>
  <c r="AB4" i="6"/>
  <c r="AA4" i="6"/>
  <c r="Z4" i="6"/>
  <c r="Y4" i="6"/>
  <c r="X4" i="6"/>
  <c r="W4" i="6"/>
  <c r="V4" i="6"/>
  <c r="U4" i="6"/>
  <c r="T4" i="6"/>
  <c r="S4" i="6"/>
  <c r="R4" i="6"/>
  <c r="Q4" i="6"/>
  <c r="AA6" i="6"/>
  <c r="AB6" i="6"/>
  <c r="AA7" i="6"/>
  <c r="O36" i="6"/>
  <c r="O47" i="6"/>
  <c r="G53" i="6"/>
  <c r="N36" i="6"/>
  <c r="M36" i="6"/>
  <c r="L36" i="6"/>
  <c r="K36" i="6"/>
  <c r="J36" i="6"/>
  <c r="I36" i="6"/>
  <c r="H36" i="6"/>
  <c r="G36" i="6"/>
  <c r="E36" i="6"/>
  <c r="F36" i="6"/>
  <c r="F53" i="6"/>
  <c r="E53" i="6"/>
  <c r="D53" i="6"/>
  <c r="AB18" i="6"/>
  <c r="AA18" i="6"/>
  <c r="Z18" i="6"/>
  <c r="Y18" i="6"/>
  <c r="X18" i="6"/>
  <c r="W18" i="6"/>
  <c r="V18" i="6"/>
  <c r="U18" i="6"/>
  <c r="T18" i="6"/>
  <c r="S18" i="6"/>
  <c r="R18" i="6"/>
  <c r="Q18" i="6"/>
  <c r="AB12" i="3"/>
  <c r="AA12" i="3"/>
  <c r="Z12" i="3"/>
  <c r="Y12" i="3"/>
  <c r="X12" i="3"/>
  <c r="W12" i="3"/>
  <c r="V12" i="3"/>
  <c r="U12" i="3"/>
  <c r="T12" i="3"/>
  <c r="S12" i="3"/>
  <c r="R12" i="3"/>
  <c r="Q12" i="3"/>
  <c r="AB14" i="2"/>
  <c r="AA14" i="2"/>
  <c r="Z14" i="2"/>
  <c r="Y14" i="2"/>
  <c r="X14" i="2"/>
  <c r="W14" i="2"/>
  <c r="V14" i="2"/>
  <c r="U14" i="2"/>
  <c r="T14" i="2"/>
  <c r="S14" i="2"/>
  <c r="R14" i="2"/>
  <c r="Q14" i="2"/>
  <c r="C18" i="6"/>
  <c r="AB4" i="3"/>
  <c r="AA4" i="3"/>
  <c r="Z4" i="3"/>
  <c r="Y4" i="3"/>
  <c r="X4" i="3"/>
  <c r="W4" i="3"/>
  <c r="V4" i="3"/>
  <c r="U4" i="3"/>
  <c r="T4" i="3"/>
  <c r="S4" i="3"/>
  <c r="R4" i="3"/>
  <c r="Q4" i="3"/>
  <c r="AB5" i="2"/>
  <c r="AA5" i="2"/>
  <c r="Z5" i="2"/>
  <c r="Y5" i="2"/>
  <c r="X5" i="2"/>
  <c r="W5" i="2"/>
  <c r="V5" i="2"/>
  <c r="U5" i="2"/>
  <c r="T5" i="2"/>
  <c r="S5" i="2"/>
  <c r="R5" i="2"/>
  <c r="Q5" i="2"/>
  <c r="A2" i="8"/>
  <c r="M5" i="8"/>
  <c r="M26" i="8" s="1"/>
  <c r="M44" i="8" s="1"/>
  <c r="L5" i="8"/>
  <c r="L26" i="8" s="1"/>
  <c r="L44" i="8" s="1"/>
  <c r="K5" i="8"/>
  <c r="K26" i="8" s="1"/>
  <c r="K44" i="8" s="1"/>
  <c r="J5" i="8"/>
  <c r="J26" i="8" s="1"/>
  <c r="J44" i="8" s="1"/>
  <c r="I5" i="8"/>
  <c r="I26" i="8" s="1"/>
  <c r="I44" i="8" s="1"/>
  <c r="H5" i="8"/>
  <c r="H26" i="8" s="1"/>
  <c r="H44" i="8" s="1"/>
  <c r="G5" i="8"/>
  <c r="G26" i="8" s="1"/>
  <c r="G44" i="8" s="1"/>
  <c r="F5" i="8"/>
  <c r="F26" i="8" s="1"/>
  <c r="F44" i="8" s="1"/>
  <c r="E5" i="8"/>
  <c r="E26" i="8" s="1"/>
  <c r="E44" i="8" s="1"/>
  <c r="D5" i="8"/>
  <c r="D26" i="8" s="1"/>
  <c r="D44" i="8" s="1"/>
  <c r="C5" i="8"/>
  <c r="C26" i="8" s="1"/>
  <c r="C44" i="8" s="1"/>
  <c r="B5" i="8"/>
  <c r="B26" i="8" s="1"/>
  <c r="B44" i="8" s="1"/>
  <c r="C59" i="8" l="1"/>
  <c r="R5" i="6" s="1"/>
  <c r="Q8" i="6"/>
  <c r="T7" i="2"/>
  <c r="L5" i="1"/>
  <c r="M5" i="1"/>
  <c r="N5" i="1"/>
  <c r="I5" i="1"/>
  <c r="J5" i="1"/>
  <c r="Y6" i="2"/>
  <c r="Z7" i="2"/>
  <c r="X7" i="2"/>
  <c r="X6" i="2"/>
  <c r="Y7" i="2"/>
  <c r="W7" i="2"/>
  <c r="S7" i="2"/>
  <c r="Q7" i="2"/>
  <c r="L65" i="8"/>
  <c r="AA11" i="6" s="1"/>
  <c r="H65" i="8"/>
  <c r="W11" i="6" s="1"/>
  <c r="F65" i="8"/>
  <c r="U11" i="6" s="1"/>
  <c r="J65" i="8"/>
  <c r="Y11" i="6" s="1"/>
  <c r="L62" i="8"/>
  <c r="AA8" i="6" s="1"/>
  <c r="H62" i="8"/>
  <c r="W8" i="6" s="1"/>
  <c r="J62" i="8"/>
  <c r="Y8" i="6" s="1"/>
  <c r="F62" i="8"/>
  <c r="U8" i="6" s="1"/>
  <c r="V10" i="2"/>
  <c r="R10" i="2"/>
  <c r="S10" i="2"/>
  <c r="X10" i="2"/>
  <c r="T10" i="2"/>
  <c r="W10" i="2"/>
  <c r="Z10" i="2"/>
  <c r="G59" i="8"/>
  <c r="V5" i="6" s="1"/>
  <c r="K59" i="8"/>
  <c r="Z5" i="6" s="1"/>
  <c r="M59" i="8"/>
  <c r="AB5" i="6" s="1"/>
  <c r="E59" i="8"/>
  <c r="T5" i="6" s="1"/>
  <c r="I59" i="8"/>
  <c r="X5" i="6" s="1"/>
  <c r="C65" i="8"/>
  <c r="R11" i="6" s="1"/>
  <c r="M65" i="8"/>
  <c r="AB11" i="6" s="1"/>
  <c r="K65" i="8"/>
  <c r="Z11" i="6" s="1"/>
  <c r="I65" i="8"/>
  <c r="X11" i="6" s="1"/>
  <c r="G65" i="8"/>
  <c r="V11" i="6" s="1"/>
  <c r="E65" i="8"/>
  <c r="T11" i="6" s="1"/>
  <c r="C62" i="8"/>
  <c r="R8" i="6" s="1"/>
  <c r="M62" i="8"/>
  <c r="AB8" i="6" s="1"/>
  <c r="K62" i="8"/>
  <c r="Z8" i="6" s="1"/>
  <c r="I62" i="8"/>
  <c r="X8" i="6" s="1"/>
  <c r="G62" i="8"/>
  <c r="V8" i="6" s="1"/>
  <c r="E62" i="8"/>
  <c r="T8" i="6" s="1"/>
  <c r="L59" i="8"/>
  <c r="AA5" i="6" s="1"/>
  <c r="B59" i="8"/>
  <c r="Q5" i="6" s="1"/>
  <c r="D59" i="8"/>
  <c r="S5" i="6" s="1"/>
  <c r="F59" i="8"/>
  <c r="U5" i="6" s="1"/>
  <c r="H59" i="8"/>
  <c r="W5" i="6" s="1"/>
  <c r="J59" i="8"/>
  <c r="Y5" i="6" s="1"/>
  <c r="C36" i="6"/>
  <c r="B18" i="6"/>
  <c r="C12" i="3"/>
  <c r="B12" i="3"/>
  <c r="O18" i="6"/>
  <c r="N18" i="6"/>
  <c r="M18" i="6"/>
  <c r="L18" i="6"/>
  <c r="K18" i="6"/>
  <c r="J18" i="6"/>
  <c r="I18" i="6"/>
  <c r="H18" i="6"/>
  <c r="G18" i="6"/>
  <c r="F18" i="6"/>
  <c r="E18" i="6"/>
  <c r="D18" i="6"/>
  <c r="O12" i="3"/>
  <c r="N12" i="3"/>
  <c r="M12" i="3"/>
  <c r="L12" i="3"/>
  <c r="K12" i="3"/>
  <c r="J12" i="3"/>
  <c r="I12" i="3"/>
  <c r="H12" i="3"/>
  <c r="G12" i="3"/>
  <c r="F12" i="3"/>
  <c r="E12" i="3"/>
  <c r="D12" i="3"/>
  <c r="O1" i="3"/>
  <c r="J1" i="3"/>
  <c r="AB14" i="3"/>
  <c r="AB15" i="3"/>
  <c r="AB16" i="3"/>
  <c r="AB18" i="3"/>
  <c r="AB19" i="3"/>
  <c r="AB22" i="3"/>
  <c r="AA14" i="3"/>
  <c r="AA15" i="3"/>
  <c r="AA16" i="3"/>
  <c r="AA18" i="3"/>
  <c r="AA19" i="3"/>
  <c r="AA22" i="3"/>
  <c r="Z14" i="3"/>
  <c r="Z15" i="3"/>
  <c r="Z16" i="3"/>
  <c r="Z18" i="3"/>
  <c r="Z19" i="3"/>
  <c r="Z22" i="3"/>
  <c r="Y14" i="3"/>
  <c r="Y15" i="3"/>
  <c r="Y16" i="3"/>
  <c r="Y18" i="3"/>
  <c r="Y19" i="3"/>
  <c r="Y22" i="3"/>
  <c r="X14" i="3"/>
  <c r="X15" i="3"/>
  <c r="X16" i="3"/>
  <c r="X18" i="3"/>
  <c r="X19" i="3"/>
  <c r="X22" i="3"/>
  <c r="W14" i="3"/>
  <c r="W15" i="3"/>
  <c r="W16" i="3"/>
  <c r="W18" i="3"/>
  <c r="W19" i="3"/>
  <c r="W22" i="3"/>
  <c r="V14" i="3"/>
  <c r="V15" i="3"/>
  <c r="V16" i="3"/>
  <c r="V18" i="3"/>
  <c r="V19" i="3"/>
  <c r="V22" i="3"/>
  <c r="U14" i="3"/>
  <c r="U15" i="3"/>
  <c r="U16" i="3"/>
  <c r="U18" i="3"/>
  <c r="U19" i="3"/>
  <c r="U22" i="3"/>
  <c r="T14" i="3"/>
  <c r="T15" i="3"/>
  <c r="T16" i="3"/>
  <c r="T18" i="3"/>
  <c r="T19" i="3"/>
  <c r="T22" i="3"/>
  <c r="S14" i="3"/>
  <c r="S15" i="3"/>
  <c r="S16" i="3"/>
  <c r="S18" i="3"/>
  <c r="S19" i="3"/>
  <c r="S22" i="3"/>
  <c r="S13" i="3"/>
  <c r="R14" i="3"/>
  <c r="R15" i="3"/>
  <c r="R16" i="3"/>
  <c r="R18" i="3"/>
  <c r="R19" i="3"/>
  <c r="R22" i="3"/>
  <c r="Q14" i="3"/>
  <c r="Q15" i="3"/>
  <c r="Q18" i="3"/>
  <c r="Q22" i="3"/>
  <c r="AB13" i="3"/>
  <c r="AA13" i="3"/>
  <c r="Z13" i="3"/>
  <c r="Y13" i="3"/>
  <c r="X13" i="3"/>
  <c r="W13" i="3"/>
  <c r="V13" i="3"/>
  <c r="U13" i="3"/>
  <c r="T13" i="3"/>
  <c r="R13" i="3"/>
  <c r="Q13" i="3"/>
  <c r="AB23" i="3" l="1"/>
  <c r="AA23" i="3"/>
  <c r="Z23" i="3"/>
  <c r="Y23" i="3"/>
  <c r="X23" i="3"/>
  <c r="W23" i="3"/>
  <c r="V23" i="3"/>
  <c r="U23" i="3"/>
  <c r="T23" i="3"/>
  <c r="S23" i="3"/>
  <c r="R23" i="3"/>
  <c r="Q23" i="3"/>
  <c r="O1" i="2"/>
  <c r="J1" i="2"/>
  <c r="Q23" i="2" l="1"/>
  <c r="Q34" i="2" s="1"/>
  <c r="Q43" i="2" s="1"/>
  <c r="AB8" i="2" l="1"/>
  <c r="AB11" i="2"/>
  <c r="AA8" i="2"/>
  <c r="AA11" i="2"/>
  <c r="AB23" i="2"/>
  <c r="AB34" i="2" s="1"/>
  <c r="AB43" i="2" s="1"/>
  <c r="AA23" i="2"/>
  <c r="AA34" i="2" s="1"/>
  <c r="AA43" i="2" s="1"/>
  <c r="Z23" i="2"/>
  <c r="Z34" i="2" s="1"/>
  <c r="Z43" i="2" s="1"/>
  <c r="Y23" i="2"/>
  <c r="Y34" i="2" s="1"/>
  <c r="Y43" i="2" s="1"/>
  <c r="X23" i="2"/>
  <c r="X34" i="2" s="1"/>
  <c r="X43" i="2" s="1"/>
  <c r="W23" i="2"/>
  <c r="W34" i="2" s="1"/>
  <c r="W43" i="2" s="1"/>
  <c r="V23" i="2"/>
  <c r="V34" i="2" s="1"/>
  <c r="V43" i="2" s="1"/>
  <c r="U23" i="2"/>
  <c r="U34" i="2" s="1"/>
  <c r="U43" i="2" s="1"/>
  <c r="T23" i="2"/>
  <c r="T34" i="2" s="1"/>
  <c r="T43" i="2" s="1"/>
  <c r="S23" i="2"/>
  <c r="S34" i="2" s="1"/>
  <c r="S43" i="2" s="1"/>
  <c r="R23" i="2"/>
  <c r="R34" i="2" s="1"/>
  <c r="R43" i="2" s="1"/>
  <c r="O14" i="2"/>
  <c r="N14" i="2"/>
  <c r="M14" i="2"/>
  <c r="L14" i="2"/>
  <c r="K14" i="2"/>
  <c r="J14" i="2"/>
  <c r="I14" i="2"/>
  <c r="H14" i="2"/>
  <c r="G14" i="2"/>
  <c r="F14" i="2"/>
  <c r="E14" i="2"/>
  <c r="D14" i="2"/>
  <c r="C14" i="2"/>
  <c r="B14" i="2"/>
  <c r="C47" i="6" l="1"/>
  <c r="O31" i="3" l="1"/>
  <c r="N31" i="3"/>
  <c r="M31" i="3"/>
  <c r="L31" i="3"/>
  <c r="K31" i="3"/>
  <c r="J31" i="3"/>
  <c r="I31" i="3"/>
  <c r="H31" i="3"/>
  <c r="G31" i="3"/>
  <c r="F31" i="3"/>
  <c r="E31" i="3"/>
  <c r="D31" i="3"/>
  <c r="C31" i="3"/>
  <c r="C35" i="3" s="1"/>
  <c r="B31" i="3"/>
  <c r="B35" i="3" s="1"/>
  <c r="E35" i="3" l="1"/>
  <c r="R31" i="3"/>
  <c r="R10" i="3" s="1"/>
  <c r="G35" i="3"/>
  <c r="T31" i="3"/>
  <c r="T10" i="3" s="1"/>
  <c r="I35" i="3"/>
  <c r="V31" i="3"/>
  <c r="V10" i="3" s="1"/>
  <c r="K35" i="3"/>
  <c r="X35" i="3" s="1"/>
  <c r="X6" i="3" s="1"/>
  <c r="X31" i="3"/>
  <c r="Z31" i="3"/>
  <c r="M35" i="3"/>
  <c r="Z35" i="3" s="1"/>
  <c r="Z6" i="3" s="1"/>
  <c r="O35" i="3"/>
  <c r="AB35" i="3" s="1"/>
  <c r="AB6" i="3" s="1"/>
  <c r="AB31" i="3"/>
  <c r="Q31" i="3"/>
  <c r="Q10" i="3" s="1"/>
  <c r="D35" i="3"/>
  <c r="Q35" i="3" s="1"/>
  <c r="Q6" i="3" s="1"/>
  <c r="S31" i="3"/>
  <c r="S10" i="3" s="1"/>
  <c r="F35" i="3"/>
  <c r="U31" i="3"/>
  <c r="H35" i="3"/>
  <c r="W31" i="3"/>
  <c r="W10" i="3" s="1"/>
  <c r="J35" i="3"/>
  <c r="W35" i="3" s="1"/>
  <c r="W6" i="3" s="1"/>
  <c r="Y31" i="3"/>
  <c r="Y10" i="3" s="1"/>
  <c r="L35" i="3"/>
  <c r="Y35" i="3" s="1"/>
  <c r="Y6" i="3" s="1"/>
  <c r="AA31" i="3"/>
  <c r="AA10" i="3" s="1"/>
  <c r="N35" i="3"/>
  <c r="AA35" i="3" s="1"/>
  <c r="AA6" i="3" s="1"/>
  <c r="X10" i="3"/>
  <c r="Z10" i="3"/>
  <c r="AB10" i="3"/>
  <c r="U10" i="3"/>
  <c r="C23" i="3"/>
  <c r="B23" i="3"/>
  <c r="C53" i="6"/>
  <c r="C14" i="7"/>
  <c r="U35" i="3" l="1"/>
  <c r="U6" i="3" s="1"/>
  <c r="K5" i="1" s="1"/>
  <c r="S35" i="3"/>
  <c r="S6" i="3" s="1"/>
  <c r="V35" i="3"/>
  <c r="V6" i="3" s="1"/>
  <c r="T35" i="3"/>
  <c r="T6" i="3" s="1"/>
  <c r="R35" i="3"/>
  <c r="R6" i="3" s="1"/>
  <c r="L47" i="6"/>
  <c r="K47" i="6"/>
  <c r="J47" i="6"/>
  <c r="I47" i="6"/>
  <c r="H47" i="6"/>
  <c r="G47" i="6"/>
  <c r="F47" i="6"/>
  <c r="E47" i="6"/>
  <c r="D36" i="6"/>
  <c r="D47" i="6" s="1"/>
  <c r="B36" i="6"/>
  <c r="B47" i="6" l="1"/>
  <c r="B53" i="6" s="1"/>
  <c r="D17" i="3" l="1"/>
  <c r="E17" i="3"/>
  <c r="E21" i="3" s="1"/>
  <c r="F17" i="3"/>
  <c r="G17" i="3"/>
  <c r="G21" i="3" s="1"/>
  <c r="H17" i="3"/>
  <c r="I17" i="3"/>
  <c r="I21" i="3" s="1"/>
  <c r="J17" i="3"/>
  <c r="K17" i="3"/>
  <c r="L17" i="3"/>
  <c r="M17" i="3"/>
  <c r="N17" i="3"/>
  <c r="O17" i="3"/>
  <c r="O23" i="3"/>
  <c r="N23" i="3"/>
  <c r="M23" i="3"/>
  <c r="L23" i="3"/>
  <c r="K23" i="3"/>
  <c r="J23" i="3"/>
  <c r="I23" i="3"/>
  <c r="H23" i="3"/>
  <c r="G23" i="3"/>
  <c r="F23" i="3"/>
  <c r="E23" i="3"/>
  <c r="D23" i="3"/>
  <c r="AB17" i="3" l="1"/>
  <c r="O21" i="3"/>
  <c r="AB21" i="3" s="1"/>
  <c r="AB5" i="3" s="1"/>
  <c r="Z17" i="3"/>
  <c r="M21" i="3"/>
  <c r="Z21" i="3" s="1"/>
  <c r="Z5" i="3" s="1"/>
  <c r="X17" i="3"/>
  <c r="K21" i="3"/>
  <c r="X21" i="3" s="1"/>
  <c r="X5" i="3" s="1"/>
  <c r="AA17" i="3"/>
  <c r="N21" i="3"/>
  <c r="AA21" i="3" s="1"/>
  <c r="AA5" i="3" s="1"/>
  <c r="Y17" i="3"/>
  <c r="L21" i="3"/>
  <c r="Y21" i="3" s="1"/>
  <c r="Y5" i="3" s="1"/>
  <c r="W17" i="3"/>
  <c r="J21" i="3"/>
  <c r="W21" i="3" s="1"/>
  <c r="W5" i="3" s="1"/>
  <c r="U17" i="3"/>
  <c r="H21" i="3"/>
  <c r="S17" i="3"/>
  <c r="F21" i="3"/>
  <c r="Q17" i="3"/>
  <c r="D21" i="3"/>
  <c r="Q21" i="3" s="1"/>
  <c r="Q5" i="3" s="1"/>
  <c r="V17" i="3"/>
  <c r="T17" i="3"/>
  <c r="R17" i="3"/>
  <c r="D47" i="2"/>
  <c r="E47" i="2"/>
  <c r="F47" i="2"/>
  <c r="G47" i="2"/>
  <c r="H47" i="2"/>
  <c r="I47" i="2"/>
  <c r="J47" i="2"/>
  <c r="K47" i="2"/>
  <c r="L47" i="2"/>
  <c r="M47" i="2"/>
  <c r="N47" i="2"/>
  <c r="O47" i="2"/>
  <c r="D44" i="2"/>
  <c r="E44" i="2"/>
  <c r="F44" i="2"/>
  <c r="G44" i="2"/>
  <c r="H44" i="2"/>
  <c r="I44" i="2"/>
  <c r="J44" i="2"/>
  <c r="K44" i="2"/>
  <c r="L44" i="2"/>
  <c r="M44" i="2"/>
  <c r="N44" i="2"/>
  <c r="O44" i="2"/>
  <c r="D35" i="2"/>
  <c r="E35" i="2"/>
  <c r="F35" i="2"/>
  <c r="G35" i="2"/>
  <c r="H35" i="2"/>
  <c r="I35" i="2"/>
  <c r="J35" i="2"/>
  <c r="K35" i="2"/>
  <c r="L35" i="2"/>
  <c r="M35" i="2"/>
  <c r="N35" i="2"/>
  <c r="O35" i="2"/>
  <c r="AB7" i="2"/>
  <c r="S21" i="3" l="1"/>
  <c r="S5" i="3" s="1"/>
  <c r="U21" i="3"/>
  <c r="U5" i="3" s="1"/>
  <c r="R21" i="3"/>
  <c r="R5" i="3" s="1"/>
  <c r="V21" i="3"/>
  <c r="V5" i="3" s="1"/>
  <c r="T21" i="3"/>
  <c r="T5" i="3" s="1"/>
  <c r="AA7" i="2"/>
  <c r="AB10" i="2"/>
  <c r="AA10" i="2"/>
  <c r="O32" i="2"/>
  <c r="AB32" i="2" s="1"/>
  <c r="N32" i="2"/>
  <c r="AA32" i="2" s="1"/>
  <c r="M32" i="2"/>
  <c r="L32" i="2"/>
  <c r="K32" i="2"/>
  <c r="J32" i="2"/>
  <c r="I32" i="2"/>
  <c r="H32" i="2"/>
  <c r="G32" i="2"/>
  <c r="F32" i="2"/>
  <c r="E32" i="2"/>
  <c r="D32" i="2"/>
  <c r="O50" i="2"/>
  <c r="N50" i="2"/>
  <c r="M50" i="2"/>
  <c r="L50" i="2"/>
  <c r="K50" i="2"/>
  <c r="J50" i="2"/>
  <c r="I50" i="2"/>
  <c r="H50" i="2"/>
  <c r="G50" i="2"/>
  <c r="F50" i="2"/>
  <c r="E50" i="2"/>
  <c r="D50" i="2"/>
  <c r="Y32" i="2" l="1"/>
  <c r="W32" i="2"/>
  <c r="U32" i="2"/>
  <c r="S32" i="2"/>
  <c r="Q32" i="2"/>
  <c r="Z32" i="2"/>
  <c r="X32" i="2"/>
  <c r="V32" i="2"/>
  <c r="T32" i="2"/>
  <c r="R32" i="2"/>
  <c r="N47" i="6"/>
  <c r="M47" i="6"/>
  <c r="C17" i="3" l="1"/>
  <c r="C21" i="3" s="1"/>
  <c r="B17" i="3"/>
  <c r="B21" i="3" s="1"/>
  <c r="C44" i="2" l="1"/>
  <c r="C47" i="2"/>
  <c r="C35" i="2"/>
  <c r="C24" i="2"/>
  <c r="C28" i="2"/>
  <c r="B47" i="2"/>
  <c r="B44" i="2"/>
  <c r="B35" i="2"/>
  <c r="B28" i="2"/>
  <c r="B24" i="2"/>
  <c r="B18" i="2"/>
  <c r="B32" i="2" l="1"/>
  <c r="C32" i="2"/>
  <c r="B21" i="2"/>
  <c r="B50" i="2"/>
  <c r="C50" i="2"/>
  <c r="F21" i="2"/>
  <c r="C18" i="2"/>
  <c r="AB6" i="2" l="1"/>
  <c r="AA6" i="2"/>
  <c r="E43" i="2"/>
  <c r="E34" i="2"/>
  <c r="E23" i="2"/>
  <c r="G43" i="2"/>
  <c r="G34" i="2"/>
  <c r="G23" i="2"/>
  <c r="I43" i="2"/>
  <c r="I34" i="2"/>
  <c r="I23" i="2"/>
  <c r="M43" i="2"/>
  <c r="M34" i="2"/>
  <c r="M23" i="2"/>
  <c r="O43" i="2"/>
  <c r="O34" i="2"/>
  <c r="O23" i="2"/>
  <c r="D43" i="2"/>
  <c r="D34" i="2"/>
  <c r="D23" i="2"/>
  <c r="F43" i="2"/>
  <c r="F34" i="2"/>
  <c r="F23" i="2"/>
  <c r="H43" i="2"/>
  <c r="H34" i="2"/>
  <c r="H23" i="2"/>
  <c r="J43" i="2"/>
  <c r="J34" i="2"/>
  <c r="J23" i="2"/>
  <c r="L43" i="2"/>
  <c r="L34" i="2"/>
  <c r="L23" i="2"/>
  <c r="N43" i="2"/>
  <c r="N34" i="2"/>
  <c r="N23" i="2"/>
  <c r="K43" i="2"/>
  <c r="K34" i="2"/>
  <c r="K23" i="2"/>
  <c r="B43" i="2"/>
  <c r="B23" i="2"/>
  <c r="B34" i="2"/>
  <c r="C43" i="2"/>
  <c r="C34" i="2"/>
  <c r="C23" i="2"/>
  <c r="E21" i="2"/>
  <c r="I21" i="2"/>
  <c r="C21" i="2"/>
  <c r="G21" i="2"/>
  <c r="H21" i="2"/>
  <c r="L21" i="2"/>
  <c r="K21" i="2"/>
  <c r="O21" i="2"/>
  <c r="N21" i="2"/>
  <c r="M21" i="2"/>
  <c r="J21" i="2"/>
  <c r="U21" i="2" l="1"/>
  <c r="T21" i="2"/>
  <c r="X21" i="2"/>
  <c r="S21" i="2"/>
  <c r="Y21" i="2"/>
  <c r="R21" i="2"/>
  <c r="V21" i="2"/>
  <c r="Z21" i="2"/>
  <c r="W21" i="2"/>
</calcChain>
</file>

<file path=xl/sharedStrings.xml><?xml version="1.0" encoding="utf-8"?>
<sst xmlns="http://schemas.openxmlformats.org/spreadsheetml/2006/main" count="239" uniqueCount="125">
  <si>
    <t>Tous budgets - ETPR moyen</t>
  </si>
  <si>
    <t>ETPR PNM</t>
  </si>
  <si>
    <t>Permanents</t>
  </si>
  <si>
    <t>Non permanents</t>
  </si>
  <si>
    <t>Année en cours</t>
  </si>
  <si>
    <t>CRA G- GHT - 
ETPR moyen</t>
  </si>
  <si>
    <t>TOTAL ETPR PNM+PM</t>
  </si>
  <si>
    <t>Effectifs</t>
  </si>
  <si>
    <t>Masse salariale</t>
  </si>
  <si>
    <t>Personnel extérieur à l'établissement (621)</t>
  </si>
  <si>
    <t>dont personnel médical</t>
  </si>
  <si>
    <t>dont personnel non médical</t>
  </si>
  <si>
    <t>Nom de l'établissement</t>
  </si>
  <si>
    <t>Logo ARS</t>
  </si>
  <si>
    <t>Activité</t>
  </si>
  <si>
    <t>Médecine</t>
  </si>
  <si>
    <t>Chirurgie</t>
  </si>
  <si>
    <t>Obstétrique</t>
  </si>
  <si>
    <t>dont hôpital de jour</t>
  </si>
  <si>
    <t>dont hospitalisation complète</t>
  </si>
  <si>
    <t>dont ambulatoire</t>
  </si>
  <si>
    <t>Nombre de séjours</t>
  </si>
  <si>
    <t>Recettes T2A</t>
  </si>
  <si>
    <t>Tout MCO hors séances</t>
  </si>
  <si>
    <t>dont accouchements</t>
  </si>
  <si>
    <t>Séances</t>
  </si>
  <si>
    <t>Taux d'occupation et de rotation</t>
  </si>
  <si>
    <t>Tous budgets</t>
  </si>
  <si>
    <t>Molécules onéreuses + DMI</t>
  </si>
  <si>
    <t>ATU + SE + Autres ACE</t>
  </si>
  <si>
    <t>Taux de chirurgie ambulatoire</t>
  </si>
  <si>
    <t>Virage ambulatoire</t>
  </si>
  <si>
    <t>IP-DMS</t>
  </si>
  <si>
    <t>CRA hors budget G - 
ETPR moyen</t>
  </si>
  <si>
    <t>dont CRP - H</t>
  </si>
  <si>
    <t>CRP H - ETPR moyen</t>
  </si>
  <si>
    <t>Tout MCO HC hors séances</t>
  </si>
  <si>
    <t>Médecine HC</t>
  </si>
  <si>
    <t>Chirurgie HC</t>
  </si>
  <si>
    <t>Obstétrique HC</t>
  </si>
  <si>
    <t>Attention la modification de l'année entraine une modification des années suivies dans tous les onglets</t>
  </si>
  <si>
    <t>CH xxx</t>
  </si>
  <si>
    <t>Rémunération PNM (641)</t>
  </si>
  <si>
    <t>Rémunération PM (642)</t>
  </si>
  <si>
    <t>TOTAL du Titre 1 hors compte personnel extérieur (621)</t>
  </si>
  <si>
    <t>TOTAL du Titre 1 hors compte personnel extérieur (621) - Prévision</t>
  </si>
  <si>
    <t>Rémunération PNM (641) - Prévision</t>
  </si>
  <si>
    <t>Rémunération PM (642) - Prévision</t>
  </si>
  <si>
    <t>dont hospitalisation partielle</t>
  </si>
  <si>
    <t>Tout MCO hors séances - Prévision</t>
  </si>
  <si>
    <t>hospitalisation complète - Prévision</t>
  </si>
  <si>
    <t>hospitalisation partielle - Prévision</t>
  </si>
  <si>
    <t>L'ETPR moyen à inscrire dans la colonne du mois est l'ETPR moyen calculé sur le mois entier.</t>
  </si>
  <si>
    <t>ETPR PNM - tous budgets</t>
  </si>
  <si>
    <t>ETPR PNM - budget H</t>
  </si>
  <si>
    <t>ETPR PM - budget H</t>
  </si>
  <si>
    <t>dont non permanents</t>
  </si>
  <si>
    <t>dont permanents</t>
  </si>
  <si>
    <r>
      <t xml:space="preserve">ETPR PNM - </t>
    </r>
    <r>
      <rPr>
        <b/>
        <u/>
        <sz val="11"/>
        <rFont val="Calibri"/>
        <family val="2"/>
        <scheme val="minor"/>
      </rPr>
      <t>tous budgets</t>
    </r>
  </si>
  <si>
    <r>
      <t xml:space="preserve">ETPR PNM - </t>
    </r>
    <r>
      <rPr>
        <b/>
        <u/>
        <sz val="11"/>
        <rFont val="Calibri"/>
        <family val="2"/>
        <scheme val="minor"/>
      </rPr>
      <t>budget H</t>
    </r>
  </si>
  <si>
    <r>
      <t xml:space="preserve">ETPR PM - </t>
    </r>
    <r>
      <rPr>
        <b/>
        <u/>
        <sz val="11"/>
        <rFont val="Calibri"/>
        <family val="2"/>
        <scheme val="minor"/>
      </rPr>
      <t>budget H</t>
    </r>
  </si>
  <si>
    <t>MENSUEL</t>
  </si>
  <si>
    <t>MOYENNE ANNUELLE</t>
  </si>
  <si>
    <t>CUMULE</t>
  </si>
  <si>
    <t>Total - prévision</t>
  </si>
  <si>
    <t>Total - réalisé</t>
  </si>
  <si>
    <t>TOTAL</t>
  </si>
  <si>
    <t xml:space="preserve">Total </t>
  </si>
  <si>
    <r>
      <t xml:space="preserve">Titre 1 hors compte personnel extérieur (621) - </t>
    </r>
    <r>
      <rPr>
        <b/>
        <u/>
        <sz val="11"/>
        <rFont val="Calibri"/>
        <family val="2"/>
        <scheme val="minor"/>
      </rPr>
      <t>budget H</t>
    </r>
  </si>
  <si>
    <r>
      <t xml:space="preserve">Rémunération PNM (641) - </t>
    </r>
    <r>
      <rPr>
        <b/>
        <u/>
        <sz val="11"/>
        <rFont val="Calibri"/>
        <family val="2"/>
        <scheme val="minor"/>
      </rPr>
      <t>budget H</t>
    </r>
  </si>
  <si>
    <r>
      <t xml:space="preserve">Rémunération PM (642) - </t>
    </r>
    <r>
      <rPr>
        <b/>
        <u/>
        <sz val="11"/>
        <rFont val="Calibri"/>
        <family val="2"/>
        <scheme val="minor"/>
      </rPr>
      <t>budget H</t>
    </r>
  </si>
  <si>
    <r>
      <t xml:space="preserve">Personnel extérieur à l'établissement (621) - </t>
    </r>
    <r>
      <rPr>
        <b/>
        <u/>
        <sz val="11"/>
        <color theme="1"/>
        <rFont val="Calibri"/>
        <family val="2"/>
        <scheme val="minor"/>
      </rPr>
      <t>budget H</t>
    </r>
  </si>
  <si>
    <r>
      <t xml:space="preserve">TOTAL du Titre 1 hors compte personnel extérieur (621) - </t>
    </r>
    <r>
      <rPr>
        <u/>
        <sz val="11"/>
        <color theme="1"/>
        <rFont val="Calibri"/>
        <family val="2"/>
        <scheme val="minor"/>
      </rPr>
      <t>budget H</t>
    </r>
  </si>
  <si>
    <r>
      <t xml:space="preserve">Rémunération PNM (641) - </t>
    </r>
    <r>
      <rPr>
        <u/>
        <sz val="11"/>
        <color theme="1"/>
        <rFont val="Calibri"/>
        <family val="2"/>
        <scheme val="minor"/>
      </rPr>
      <t>budget H</t>
    </r>
  </si>
  <si>
    <r>
      <t xml:space="preserve">Rémunération PM (642) - </t>
    </r>
    <r>
      <rPr>
        <u/>
        <sz val="11"/>
        <color theme="1"/>
        <rFont val="Calibri"/>
        <family val="2"/>
        <scheme val="minor"/>
      </rPr>
      <t>budget H</t>
    </r>
  </si>
  <si>
    <r>
      <t xml:space="preserve">Personnel extérieur à l'établissement (621) - </t>
    </r>
    <r>
      <rPr>
        <u/>
        <sz val="11"/>
        <color theme="1"/>
        <rFont val="Calibri"/>
        <family val="2"/>
        <scheme val="minor"/>
      </rPr>
      <t>budget H</t>
    </r>
  </si>
  <si>
    <t>Il s'agit d'inscrire dans cet onglet les données détaillées de N-1 afin de pouvoir réaliser des comparaisons avec les données de l'année N</t>
  </si>
  <si>
    <t>Commentaires éventuels de l'ARS sur les données ci-dessus, visant à permettre leur bonne compréhension et interprétation</t>
  </si>
  <si>
    <r>
      <t xml:space="preserve">Cumulé depuis le début de l'année à la </t>
    </r>
    <r>
      <rPr>
        <b/>
        <u/>
        <sz val="11"/>
        <color theme="0"/>
        <rFont val="Calibri"/>
        <family val="2"/>
        <scheme val="minor"/>
      </rPr>
      <t>date de transmission</t>
    </r>
    <r>
      <rPr>
        <b/>
        <sz val="11"/>
        <color theme="0"/>
        <rFont val="Calibri"/>
        <family val="2"/>
        <scheme val="minor"/>
      </rPr>
      <t xml:space="preserve"> du mois</t>
    </r>
  </si>
  <si>
    <r>
      <t xml:space="preserve">CUMULE des données du </t>
    </r>
    <r>
      <rPr>
        <b/>
        <u/>
        <sz val="11"/>
        <color theme="1"/>
        <rFont val="Calibri"/>
        <family val="2"/>
        <scheme val="minor"/>
      </rPr>
      <t>mois de transmission</t>
    </r>
  </si>
  <si>
    <t xml:space="preserve">Données à jour du mois de </t>
  </si>
  <si>
    <t>janv</t>
  </si>
  <si>
    <t>fév</t>
  </si>
  <si>
    <t>mars</t>
  </si>
  <si>
    <t>avril</t>
  </si>
  <si>
    <t>mai</t>
  </si>
  <si>
    <t>juin</t>
  </si>
  <si>
    <t>juil</t>
  </si>
  <si>
    <t>août</t>
  </si>
  <si>
    <t>sept</t>
  </si>
  <si>
    <t>oct</t>
  </si>
  <si>
    <t>nov</t>
  </si>
  <si>
    <t>déc</t>
  </si>
  <si>
    <t>Evolution du nombre d'ETP PNM budget H</t>
  </si>
  <si>
    <t>Evolution du nombre d'ETP PM budget H</t>
  </si>
  <si>
    <t>Evolution des séances</t>
  </si>
  <si>
    <t>Evolution des recettes T2A</t>
  </si>
  <si>
    <t>Données en date de</t>
  </si>
  <si>
    <t>Evolution des séjours MCO HC hors séances</t>
  </si>
  <si>
    <t>Evolution des séjours MCO HP hors séances</t>
  </si>
  <si>
    <t>TOTAL du Titre 1</t>
  </si>
  <si>
    <t>Evolution de la masse salariale du budget H (T1)</t>
  </si>
  <si>
    <r>
      <t xml:space="preserve">TOTAL du Titre 1  - </t>
    </r>
    <r>
      <rPr>
        <u/>
        <sz val="11"/>
        <color theme="1"/>
        <rFont val="Calibri"/>
        <family val="2"/>
        <scheme val="minor"/>
      </rPr>
      <t>tous budgets</t>
    </r>
  </si>
  <si>
    <r>
      <t xml:space="preserve">TOTAL du Titre 1 - </t>
    </r>
    <r>
      <rPr>
        <u/>
        <sz val="11"/>
        <color theme="1"/>
        <rFont val="Calibri"/>
        <family val="2"/>
        <scheme val="minor"/>
      </rPr>
      <t>budget H</t>
    </r>
  </si>
  <si>
    <r>
      <t xml:space="preserve">Titre 1 - </t>
    </r>
    <r>
      <rPr>
        <b/>
        <u/>
        <sz val="11"/>
        <rFont val="Calibri"/>
        <family val="2"/>
        <scheme val="minor"/>
      </rPr>
      <t>tous budgets</t>
    </r>
  </si>
  <si>
    <r>
      <t xml:space="preserve">Titre 1 - </t>
    </r>
    <r>
      <rPr>
        <b/>
        <u/>
        <sz val="11"/>
        <rFont val="Calibri"/>
        <family val="2"/>
        <scheme val="minor"/>
      </rPr>
      <t>budget H</t>
    </r>
  </si>
  <si>
    <t>DONNEES MENSUELLES</t>
  </si>
  <si>
    <t>DONNEES ANNUELLES</t>
  </si>
  <si>
    <t>ETPR PM - Prévision (TPER)</t>
  </si>
  <si>
    <t>ETPR PNM - Prévision (TPER)</t>
  </si>
  <si>
    <r>
      <t xml:space="preserve">ETPR PM </t>
    </r>
    <r>
      <rPr>
        <sz val="8"/>
        <rFont val="Calibri"/>
        <family val="2"/>
        <scheme val="minor"/>
      </rPr>
      <t>(hors internes et étudiants)</t>
    </r>
  </si>
  <si>
    <r>
      <t>ETPR PM</t>
    </r>
    <r>
      <rPr>
        <sz val="8"/>
        <rFont val="Calibri"/>
        <family val="2"/>
        <scheme val="minor"/>
      </rPr>
      <t xml:space="preserve"> (hors internes et étudiants)</t>
    </r>
  </si>
  <si>
    <t>Source des prévisions annuelles inscrites (EPRD exécutoire, EPRD en cours d'instruction, autre, etc….) et position de l'ARS sur ces prévisions (validation/en cours de discussion etc…)</t>
  </si>
  <si>
    <r>
      <rPr>
        <b/>
        <u/>
        <sz val="11"/>
        <color theme="1"/>
        <rFont val="Calibri"/>
        <family val="2"/>
        <scheme val="minor"/>
      </rPr>
      <t>Précisions méthodologiques</t>
    </r>
    <r>
      <rPr>
        <sz val="11"/>
        <color theme="1"/>
        <rFont val="Calibri"/>
        <family val="2"/>
        <scheme val="minor"/>
      </rPr>
      <t xml:space="preserve"> : 
L'ETPR moyen à inscrire dans la colonne du mois est l'ETPR moyen calculé sur le mois entier. 
Quand il s'agit de remplir l'ETPR moyen de l'année, il s'agit de l'ETPR moyen calculé sur l'année entière (et non au 31/12 de l'année). 
Le personnel médical s’entend hors internes et étudiants. 
La distinction entre « permanents » et « non permanents » correspond à celle qui est faite dans la maquette ETPR des EPRD (ANCRE). 
L’établissement peut apporter toute précision qu’il juge utile concernant les choix méthodologiques ayant guidé le remplissage de ce tableau. Il est dans tous les cas attendu qu’il explicite la manière dont il a traité les dépenses d’intérim (comptabilisation en ETPR et, le cas échéant, méthode, ou distinction de ces dépenses à part), ainsi que la question des effectifs partagés avec d’autres établissements.  
</t>
    </r>
  </si>
  <si>
    <r>
      <rPr>
        <b/>
        <u/>
        <sz val="11"/>
        <color theme="1"/>
        <rFont val="Calibri"/>
        <family val="2"/>
        <scheme val="minor"/>
      </rPr>
      <t xml:space="preserve">Précisions méthodologiques </t>
    </r>
    <r>
      <rPr>
        <sz val="11"/>
        <color theme="1"/>
        <rFont val="Calibri"/>
        <family val="2"/>
        <scheme val="minor"/>
      </rPr>
      <t>: 
Les montants mensuels à remplir doivent correspondre au montant du mois uniquement (et non au cumulé depuis le début de l'année).
Il n'est pas demandé de retraitement de ces montants, qui doivent correspondre à ceux de la comptabilité de l'établissement.
En cas de fort impact des mises à disposition de personnels, l'établissement peut apporter toutes les précisions nécessaires, et notamment le montant des recettes associées, dans l'encart commentaires.</t>
    </r>
  </si>
  <si>
    <t>Objectif CPOM</t>
  </si>
  <si>
    <t>Nombre d'accouchements</t>
  </si>
  <si>
    <t>nombre d'accouchements</t>
  </si>
  <si>
    <t>GHS (hors dialyse) + suppléments + PO + Dialyse + IVG + AME</t>
  </si>
  <si>
    <t>GHS (hors dialyse) + suppléments + PO + Dialyse + IVG + AME + SU</t>
  </si>
  <si>
    <r>
      <rPr>
        <b/>
        <u/>
        <sz val="11"/>
        <color theme="1"/>
        <rFont val="Calibri"/>
        <family val="2"/>
        <scheme val="minor"/>
      </rPr>
      <t>Précisions méthodologiques</t>
    </r>
    <r>
      <rPr>
        <sz val="11"/>
        <color theme="1"/>
        <rFont val="Calibri"/>
        <family val="2"/>
        <scheme val="minor"/>
      </rPr>
      <t xml:space="preserve"> : 
Les tableaux sources de ces données sont OVALIDE 1V5EMM 2VEMM de epmsi. 
Ils distinguent le mois de transmission (des données) et le mois de sortie (du patient). 
Il est demandé d'inscrire ici, pour chaque mois, le montant cumulé depuis le début de l'année à la date de transmission, sans revenir sur les mois précédents. 
Par exemple pour la colonne "sept 2019" il s'agit de la totalité des recettes depuis janvier, et non seulement de celles du mois de janvier. Le mois suivant, lors du remplissage de la colonne "oct" 2019, même si de nouvelles recettes ont été récupérées sur le mois de septembre, il n'est pas demandé de modifier la colonne "sept 2019", afin de conserver l'historique des recettes valorisées à la date de transmission.</t>
    </r>
  </si>
  <si>
    <t>Commentaires éventuels de l'ARS sur les données ci-dessus, visant à permettre leur bonne compréhension et interprétation :</t>
  </si>
  <si>
    <r>
      <rPr>
        <b/>
        <u/>
        <sz val="11"/>
        <color theme="1"/>
        <rFont val="Calibri"/>
        <family val="2"/>
        <scheme val="minor"/>
      </rPr>
      <t>Précisions méthodologiques</t>
    </r>
    <r>
      <rPr>
        <sz val="11"/>
        <color theme="1"/>
        <rFont val="Calibri"/>
        <family val="2"/>
        <scheme val="minor"/>
      </rPr>
      <t xml:space="preserve"> : 
Les données mensuelles sont à actualiser chaque mois depuis le début de l'année. 
Le taux d'occupation attendu est calculé en prenant en compte le nombre de journées exploitables définies par la SAE ("</t>
    </r>
    <r>
      <rPr>
        <i/>
        <sz val="11"/>
        <color theme="1"/>
        <rFont val="Calibri"/>
        <family val="2"/>
        <scheme val="minor"/>
      </rPr>
      <t>Le nombre de journées exploitables sur l'année est égal, pour un grand groupe de disciplines, à la somme des lits en état d'accueillir des malades de chaque journée de l'exercice. Un lit exploitable pendant toute une année fournira 365 (ou 366 les années bissextiles) "journées-lits exploitables". Les exceptions sont définies strictement : travaux ou désinfection. Ainsi, un lit dont l'exploitation aura été suspendue pour cause de travaux pendant 45 jours ne fournira que 320 (ou 321) "journées-lits exploitables" dans l'année. Les fermetures pour congés, jours fériés, vacances et samedi/dimanche ne seront pas déduites, à l’exception du cas de l’hospitalisation de semaine. Dans ce cas, les journées exploitables sont calculées sur la base des journées réelles d’ouverture des unités, en déduisant les journées de week-end et jours fériés</t>
    </r>
    <r>
      <rPr>
        <sz val="11"/>
        <color theme="1"/>
        <rFont val="Calibri"/>
        <family val="2"/>
        <scheme val="minor"/>
      </rPr>
      <t>").
La méthode pour distinguer M, C et O n'est pas imposée (ASO ou CAS) mais doit rester constante sur toutes les périodes transmises.
Le taux de chirurgie ambulatoire s'entend au sens de la circulaire de 2015.</t>
    </r>
  </si>
  <si>
    <t>Seules les cases jaunes sont à remplir, les autres cellules sont des calculs automatisés.</t>
  </si>
  <si>
    <t>Tableau de bord de suivi mensuel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</si>
</sst>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0.0"/>
    <numFmt numFmtId="167" formatCode="_-* #,##0.0\ _€_-;\-* #,##0.0\ _€_-;_-* &quot;-&quot;??\ _€_-;_-@_-"/>
  </numFmts>
  <fonts count="26" x14ac:knownFonts="1">
    <font>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sz val="11"/>
      <name val="Calibri"/>
      <family val="2"/>
      <scheme val="minor"/>
    </font>
    <font>
      <b/>
      <i/>
      <sz val="9"/>
      <name val="Calibri"/>
      <family val="2"/>
      <scheme val="minor"/>
    </font>
    <font>
      <b/>
      <sz val="26"/>
      <color theme="1"/>
      <name val="Calibri"/>
      <family val="2"/>
      <scheme val="minor"/>
    </font>
    <font>
      <b/>
      <sz val="28"/>
      <color theme="1"/>
      <name val="Calibri"/>
      <family val="2"/>
      <scheme val="minor"/>
    </font>
    <font>
      <b/>
      <sz val="11"/>
      <color theme="1"/>
      <name val="Calibri"/>
      <family val="2"/>
      <scheme val="minor"/>
    </font>
    <font>
      <i/>
      <sz val="11"/>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b/>
      <sz val="11"/>
      <color theme="0" tint="-0.249977111117893"/>
      <name val="Calibri"/>
      <family val="2"/>
      <scheme val="minor"/>
    </font>
    <font>
      <sz val="11"/>
      <color theme="1"/>
      <name val="Calibri"/>
      <family val="2"/>
      <scheme val="minor"/>
    </font>
    <font>
      <b/>
      <sz val="12"/>
      <color theme="1"/>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u/>
      <sz val="11"/>
      <color theme="1"/>
      <name val="Calibri"/>
      <family val="2"/>
      <scheme val="minor"/>
    </font>
    <font>
      <i/>
      <sz val="11"/>
      <name val="Calibri"/>
      <family val="2"/>
      <scheme val="minor"/>
    </font>
    <font>
      <b/>
      <sz val="9"/>
      <name val="Calibri"/>
      <family val="2"/>
      <scheme val="minor"/>
    </font>
    <font>
      <b/>
      <u/>
      <sz val="11"/>
      <color theme="0"/>
      <name val="Calibri"/>
      <family val="2"/>
      <scheme val="minor"/>
    </font>
    <font>
      <b/>
      <sz val="14"/>
      <name val="Calibri"/>
      <family val="2"/>
      <scheme val="minor"/>
    </font>
    <font>
      <sz val="8"/>
      <name val="Calibri"/>
      <family val="2"/>
      <scheme val="minor"/>
    </font>
    <font>
      <b/>
      <sz val="11"/>
      <color rgb="FFFF0000"/>
      <name val="Calibri"/>
      <family val="2"/>
      <scheme val="minor"/>
    </font>
  </fonts>
  <fills count="25">
    <fill>
      <patternFill patternType="none"/>
    </fill>
    <fill>
      <patternFill patternType="gray125"/>
    </fill>
    <fill>
      <patternFill patternType="solid">
        <fgColor theme="3"/>
        <bgColor theme="8"/>
      </patternFill>
    </fill>
    <fill>
      <patternFill patternType="solid">
        <fgColor theme="3" tint="0.39997558519241921"/>
        <bgColor theme="8"/>
      </patternFill>
    </fill>
    <fill>
      <patternFill patternType="solid">
        <fgColor theme="0" tint="-0.14999847407452621"/>
        <bgColor indexed="64"/>
      </patternFill>
    </fill>
    <fill>
      <patternFill patternType="solid">
        <fgColor theme="7" tint="-0.249977111117893"/>
        <bgColor theme="8"/>
      </patternFill>
    </fill>
    <fill>
      <patternFill patternType="solid">
        <fgColor theme="3"/>
        <bgColor indexed="64"/>
      </patternFill>
    </fill>
    <fill>
      <patternFill patternType="solid">
        <fgColor theme="5"/>
        <bgColor indexed="64"/>
      </patternFill>
    </fill>
    <fill>
      <patternFill patternType="solid">
        <fgColor theme="5"/>
        <bgColor theme="8"/>
      </patternFill>
    </fill>
    <fill>
      <patternFill patternType="solid">
        <fgColor theme="5" tint="-0.499984740745262"/>
        <bgColor theme="8"/>
      </patternFill>
    </fill>
    <fill>
      <patternFill patternType="solid">
        <fgColor theme="8"/>
        <bgColor theme="8"/>
      </patternFill>
    </fill>
    <fill>
      <patternFill patternType="solid">
        <fgColor theme="8" tint="-0.249977111117893"/>
        <bgColor indexed="64"/>
      </patternFill>
    </fill>
    <fill>
      <patternFill patternType="solid">
        <fgColor theme="5" tint="-0.249977111117893"/>
        <bgColor theme="8"/>
      </patternFill>
    </fill>
    <fill>
      <patternFill patternType="solid">
        <fgColor rgb="FFC86260"/>
        <bgColor theme="8"/>
      </patternFill>
    </fill>
    <fill>
      <patternFill patternType="solid">
        <fgColor theme="7"/>
        <bgColor theme="8"/>
      </patternFill>
    </fill>
    <fill>
      <patternFill patternType="solid">
        <fgColor theme="0" tint="-4.9989318521683403E-2"/>
        <bgColor indexed="64"/>
      </patternFill>
    </fill>
    <fill>
      <patternFill patternType="solid">
        <fgColor theme="1"/>
        <bgColor indexed="64"/>
      </patternFill>
    </fill>
    <fill>
      <patternFill patternType="solid">
        <fgColor theme="1"/>
        <bgColor theme="8"/>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theme="1"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4" fillId="0" borderId="0" applyFont="0" applyFill="0" applyBorder="0" applyAlignment="0" applyProtection="0"/>
    <xf numFmtId="9" fontId="14" fillId="0" borderId="0" applyFont="0" applyFill="0" applyBorder="0" applyAlignment="0" applyProtection="0"/>
  </cellStyleXfs>
  <cellXfs count="229">
    <xf numFmtId="0" fontId="0" fillId="0" borderId="0" xfId="0"/>
    <xf numFmtId="0" fontId="0" fillId="0" borderId="0" xfId="0" applyAlignment="1">
      <alignment vertical="center" wrapText="1"/>
    </xf>
    <xf numFmtId="17" fontId="1" fillId="5" borderId="0" xfId="0" applyNumberFormat="1" applyFont="1" applyFill="1" applyBorder="1" applyAlignment="1">
      <alignment horizontal="right" vertical="center" wrapText="1"/>
    </xf>
    <xf numFmtId="0" fontId="1" fillId="5" borderId="0" xfId="0" applyFont="1" applyFill="1" applyBorder="1" applyAlignment="1">
      <alignment horizontal="center" vertical="center" wrapText="1"/>
    </xf>
    <xf numFmtId="0" fontId="0" fillId="0" borderId="0" xfId="0" applyBorder="1" applyAlignment="1">
      <alignment vertical="center" wrapText="1"/>
    </xf>
    <xf numFmtId="0" fontId="1" fillId="2" borderId="0" xfId="0" applyFont="1" applyFill="1" applyBorder="1" applyAlignment="1">
      <alignment horizontal="left" vertical="center" wrapText="1"/>
    </xf>
    <xf numFmtId="0" fontId="0" fillId="0" borderId="0" xfId="0" applyBorder="1" applyAlignment="1">
      <alignment vertical="center"/>
    </xf>
    <xf numFmtId="0" fontId="3" fillId="4" borderId="0" xfId="0" applyFont="1" applyFill="1" applyBorder="1" applyAlignment="1">
      <alignment horizontal="left" vertical="center"/>
    </xf>
    <xf numFmtId="0" fontId="0" fillId="0" borderId="0" xfId="0" applyBorder="1" applyAlignment="1">
      <alignment horizontal="left" vertical="center"/>
    </xf>
    <xf numFmtId="4" fontId="0" fillId="0" borderId="0" xfId="0" applyNumberFormat="1" applyBorder="1" applyAlignment="1">
      <alignment vertical="center"/>
    </xf>
    <xf numFmtId="0" fontId="1" fillId="3" borderId="0" xfId="0" applyFont="1" applyFill="1" applyBorder="1" applyAlignment="1">
      <alignment horizontal="left" vertical="center" wrapText="1"/>
    </xf>
    <xf numFmtId="4" fontId="1" fillId="3" borderId="0" xfId="0" applyNumberFormat="1" applyFont="1" applyFill="1" applyBorder="1" applyAlignment="1">
      <alignment horizontal="center" vertical="center" wrapText="1"/>
    </xf>
    <xf numFmtId="0" fontId="3" fillId="4" borderId="0" xfId="0" applyFont="1" applyFill="1" applyBorder="1" applyAlignment="1">
      <alignment horizontal="left" vertical="center" wrapText="1"/>
    </xf>
    <xf numFmtId="4" fontId="3" fillId="4" borderId="0" xfId="0" applyNumberFormat="1" applyFont="1" applyFill="1" applyBorder="1" applyAlignment="1">
      <alignment horizontal="center" vertical="center" wrapText="1"/>
    </xf>
    <xf numFmtId="0" fontId="9" fillId="0" borderId="0" xfId="0" applyFont="1" applyBorder="1" applyAlignment="1">
      <alignment vertical="center" wrapText="1"/>
    </xf>
    <xf numFmtId="0" fontId="8" fillId="0" borderId="0" xfId="0" applyFont="1" applyBorder="1" applyAlignment="1">
      <alignment vertical="center" wrapText="1"/>
    </xf>
    <xf numFmtId="0" fontId="0" fillId="0" borderId="0" xfId="0" applyAlignment="1">
      <alignment horizontal="center" vertical="center" wrapText="1"/>
    </xf>
    <xf numFmtId="0" fontId="0" fillId="0" borderId="0" xfId="0" applyBorder="1" applyAlignment="1">
      <alignment horizontal="left" vertical="center" wrapText="1"/>
    </xf>
    <xf numFmtId="4" fontId="0" fillId="0" borderId="0" xfId="0" applyNumberFormat="1" applyBorder="1" applyAlignment="1">
      <alignment vertical="center" wrapText="1"/>
    </xf>
    <xf numFmtId="17" fontId="1" fillId="8" borderId="0" xfId="0" applyNumberFormat="1" applyFont="1" applyFill="1" applyBorder="1" applyAlignment="1">
      <alignment horizontal="right" vertical="center" wrapText="1"/>
    </xf>
    <xf numFmtId="0" fontId="1" fillId="8" borderId="0" xfId="0" applyFont="1" applyFill="1" applyBorder="1" applyAlignment="1">
      <alignment horizontal="center" vertical="center" wrapText="1"/>
    </xf>
    <xf numFmtId="4" fontId="1" fillId="9" borderId="0" xfId="0" applyNumberFormat="1"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10" borderId="0" xfId="0" applyFont="1" applyFill="1" applyBorder="1" applyAlignment="1">
      <alignment horizontal="left" vertical="center" wrapText="1"/>
    </xf>
    <xf numFmtId="17" fontId="1" fillId="10" borderId="0" xfId="0" applyNumberFormat="1" applyFont="1" applyFill="1" applyBorder="1" applyAlignment="1">
      <alignment horizontal="right" vertical="center" wrapText="1"/>
    </xf>
    <xf numFmtId="0" fontId="6" fillId="0" borderId="0" xfId="0" applyFont="1" applyAlignment="1">
      <alignment horizontal="center" vertical="center" wrapText="1"/>
    </xf>
    <xf numFmtId="0" fontId="5" fillId="0" borderId="0" xfId="0" applyFont="1" applyFill="1" applyBorder="1" applyAlignment="1">
      <alignment horizontal="right" vertical="center" wrapText="1"/>
    </xf>
    <xf numFmtId="17" fontId="1" fillId="2" borderId="0" xfId="0" applyNumberFormat="1" applyFont="1" applyFill="1" applyBorder="1" applyAlignment="1">
      <alignment horizontal="center" vertical="center" wrapText="1"/>
    </xf>
    <xf numFmtId="43" fontId="0" fillId="0" borderId="0" xfId="1" applyFont="1" applyBorder="1" applyAlignment="1">
      <alignment vertical="center" wrapText="1"/>
    </xf>
    <xf numFmtId="9" fontId="4" fillId="0" borderId="0" xfId="2" applyFont="1" applyFill="1" applyBorder="1" applyAlignment="1">
      <alignment horizontal="center" vertical="center" wrapText="1"/>
    </xf>
    <xf numFmtId="0" fontId="4" fillId="0" borderId="0" xfId="0" applyFont="1" applyBorder="1" applyAlignment="1">
      <alignment vertical="center" wrapText="1"/>
    </xf>
    <xf numFmtId="0" fontId="1" fillId="12" borderId="0" xfId="0" applyFont="1" applyFill="1" applyBorder="1" applyAlignment="1">
      <alignment horizontal="center" vertical="center" wrapText="1"/>
    </xf>
    <xf numFmtId="4" fontId="1" fillId="12" borderId="0" xfId="0" applyNumberFormat="1" applyFont="1" applyFill="1" applyBorder="1" applyAlignment="1">
      <alignment horizontal="center" vertical="center" wrapText="1"/>
    </xf>
    <xf numFmtId="0" fontId="1" fillId="13" borderId="0" xfId="0" applyFont="1" applyFill="1" applyBorder="1" applyAlignment="1">
      <alignment horizontal="center" vertical="center" wrapText="1"/>
    </xf>
    <xf numFmtId="4" fontId="1" fillId="13" borderId="0" xfId="0" applyNumberFormat="1" applyFont="1" applyFill="1" applyBorder="1" applyAlignment="1">
      <alignment horizontal="center" vertical="center" wrapText="1"/>
    </xf>
    <xf numFmtId="0" fontId="1" fillId="14" borderId="0" xfId="0" applyFont="1" applyFill="1" applyBorder="1" applyAlignment="1">
      <alignment horizontal="center" vertical="center" wrapText="1"/>
    </xf>
    <xf numFmtId="17" fontId="1" fillId="14" borderId="0" xfId="0" applyNumberFormat="1" applyFont="1" applyFill="1" applyBorder="1" applyAlignment="1">
      <alignment horizontal="right" vertical="center" wrapText="1"/>
    </xf>
    <xf numFmtId="4" fontId="13"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9" fontId="3" fillId="0" borderId="0" xfId="2"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0" fillId="0" borderId="0" xfId="0" applyBorder="1" applyAlignment="1">
      <alignment horizontal="center" vertical="center"/>
    </xf>
    <xf numFmtId="0" fontId="1" fillId="2"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1" fillId="3" borderId="0" xfId="0" applyNumberFormat="1" applyFont="1" applyFill="1" applyBorder="1" applyAlignment="1">
      <alignment horizontal="center" vertical="center" wrapText="1"/>
    </xf>
    <xf numFmtId="0" fontId="0" fillId="0" borderId="0" xfId="0" applyBorder="1" applyAlignment="1">
      <alignment vertical="top" wrapText="1"/>
    </xf>
    <xf numFmtId="0" fontId="0" fillId="0" borderId="0" xfId="0" applyBorder="1" applyAlignment="1">
      <alignment horizontal="center" vertical="center"/>
    </xf>
    <xf numFmtId="0" fontId="3" fillId="4" borderId="0" xfId="0" applyFont="1" applyFill="1" applyBorder="1" applyAlignment="1">
      <alignment horizontal="right" vertical="center" wrapText="1"/>
    </xf>
    <xf numFmtId="0" fontId="3" fillId="15" borderId="0" xfId="0" applyFont="1" applyFill="1" applyBorder="1" applyAlignment="1">
      <alignment horizontal="left" vertical="center" wrapText="1"/>
    </xf>
    <xf numFmtId="0" fontId="1" fillId="5" borderId="0" xfId="0" applyNumberFormat="1" applyFont="1" applyFill="1" applyBorder="1" applyAlignment="1">
      <alignment horizontal="center" vertical="center" wrapText="1"/>
    </xf>
    <xf numFmtId="0" fontId="1" fillId="14" borderId="0" xfId="0" applyNumberFormat="1" applyFont="1" applyFill="1" applyBorder="1" applyAlignment="1">
      <alignment horizontal="center" vertical="center" wrapText="1"/>
    </xf>
    <xf numFmtId="0" fontId="1" fillId="8" borderId="0" xfId="0" applyNumberFormat="1" applyFont="1" applyFill="1" applyBorder="1" applyAlignment="1">
      <alignment horizontal="center" vertical="center" wrapText="1"/>
    </xf>
    <xf numFmtId="0" fontId="1" fillId="9" borderId="0" xfId="0" applyNumberFormat="1" applyFont="1" applyFill="1" applyBorder="1" applyAlignment="1">
      <alignment horizontal="center" vertical="center" wrapText="1"/>
    </xf>
    <xf numFmtId="0" fontId="1" fillId="12" borderId="0" xfId="0" applyNumberFormat="1" applyFont="1" applyFill="1" applyBorder="1" applyAlignment="1">
      <alignment horizontal="center" vertical="center" wrapText="1"/>
    </xf>
    <xf numFmtId="0" fontId="1" fillId="13" borderId="0" xfId="0" applyNumberFormat="1" applyFont="1" applyFill="1" applyBorder="1" applyAlignment="1">
      <alignment horizontal="center" vertical="center" wrapText="1"/>
    </xf>
    <xf numFmtId="0" fontId="0" fillId="0" borderId="0" xfId="0" applyAlignment="1">
      <alignment horizontal="left" vertical="center" wrapText="1"/>
    </xf>
    <xf numFmtId="0" fontId="3" fillId="4" borderId="15" xfId="0" applyFont="1" applyFill="1" applyBorder="1" applyAlignment="1">
      <alignment horizontal="left" vertical="center" wrapText="1"/>
    </xf>
    <xf numFmtId="17" fontId="1" fillId="5" borderId="0" xfId="0" applyNumberFormat="1" applyFont="1" applyFill="1" applyBorder="1" applyAlignment="1">
      <alignment horizontal="center" vertical="center" wrapText="1"/>
    </xf>
    <xf numFmtId="17" fontId="1" fillId="14" borderId="0" xfId="0" applyNumberFormat="1" applyFont="1" applyFill="1" applyBorder="1" applyAlignment="1">
      <alignment horizontal="center" vertical="center" wrapText="1"/>
    </xf>
    <xf numFmtId="0" fontId="1" fillId="17" borderId="15" xfId="0" applyFont="1" applyFill="1" applyBorder="1" applyAlignment="1">
      <alignment horizontal="left" vertical="center" wrapText="1"/>
    </xf>
    <xf numFmtId="0" fontId="1" fillId="16" borderId="0" xfId="0" applyFont="1" applyFill="1" applyBorder="1" applyAlignment="1">
      <alignment vertical="center" wrapText="1"/>
    </xf>
    <xf numFmtId="0" fontId="1" fillId="16" borderId="16" xfId="0" applyFont="1" applyFill="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3" fontId="3" fillId="4"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0" fillId="0" borderId="0" xfId="0" applyNumberFormat="1"/>
    <xf numFmtId="3" fontId="0" fillId="0" borderId="0" xfId="0" applyNumberFormat="1" applyFill="1"/>
    <xf numFmtId="3" fontId="4" fillId="0" borderId="0" xfId="0" applyNumberFormat="1" applyFont="1" applyFill="1" applyBorder="1" applyAlignment="1">
      <alignment horizontal="center" vertical="center" wrapText="1"/>
    </xf>
    <xf numFmtId="3" fontId="0" fillId="0" borderId="0" xfId="0" applyNumberFormat="1" applyBorder="1" applyAlignment="1">
      <alignment vertical="center" wrapText="1"/>
    </xf>
    <xf numFmtId="3" fontId="0" fillId="0" borderId="0" xfId="0" applyNumberFormat="1" applyBorder="1" applyAlignment="1">
      <alignment horizontal="center" vertical="center" wrapText="1"/>
    </xf>
    <xf numFmtId="3" fontId="8" fillId="0" borderId="0" xfId="0" applyNumberFormat="1" applyFont="1" applyBorder="1" applyAlignment="1">
      <alignment vertical="center" wrapText="1"/>
    </xf>
    <xf numFmtId="3" fontId="8" fillId="0" borderId="0" xfId="0" applyNumberFormat="1" applyFont="1" applyBorder="1" applyAlignment="1">
      <alignment horizontal="center" vertical="center" wrapText="1"/>
    </xf>
    <xf numFmtId="1" fontId="0" fillId="0" borderId="0" xfId="0" applyNumberFormat="1" applyBorder="1" applyAlignment="1">
      <alignment vertical="center" wrapText="1"/>
    </xf>
    <xf numFmtId="1" fontId="0" fillId="0" borderId="0" xfId="0" applyNumberFormat="1" applyFont="1" applyBorder="1" applyAlignment="1">
      <alignment vertical="center" wrapText="1"/>
    </xf>
    <xf numFmtId="1" fontId="0" fillId="0" borderId="0" xfId="0" applyNumberFormat="1"/>
    <xf numFmtId="1" fontId="9" fillId="0" borderId="0" xfId="0" applyNumberFormat="1" applyFont="1" applyBorder="1" applyAlignment="1">
      <alignment vertical="center" wrapText="1"/>
    </xf>
    <xf numFmtId="0" fontId="1" fillId="10" borderId="0" xfId="0" applyNumberFormat="1" applyFont="1" applyFill="1" applyBorder="1" applyAlignment="1">
      <alignment horizontal="center" vertical="center" wrapText="1"/>
    </xf>
    <xf numFmtId="9" fontId="0" fillId="4" borderId="18" xfId="2" applyFont="1" applyFill="1" applyBorder="1" applyAlignment="1">
      <alignment vertical="center" wrapText="1"/>
    </xf>
    <xf numFmtId="9" fontId="0" fillId="4" borderId="19" xfId="2" applyFont="1" applyFill="1" applyBorder="1" applyAlignment="1">
      <alignment vertical="center" wrapText="1"/>
    </xf>
    <xf numFmtId="9" fontId="0" fillId="4" borderId="0" xfId="2" applyFont="1" applyFill="1" applyBorder="1" applyAlignment="1">
      <alignment horizontal="center" vertical="center" wrapText="1"/>
    </xf>
    <xf numFmtId="9" fontId="0" fillId="4" borderId="16" xfId="2" applyFont="1" applyFill="1" applyBorder="1" applyAlignment="1">
      <alignment horizontal="center" vertical="center" wrapText="1"/>
    </xf>
    <xf numFmtId="9" fontId="0" fillId="0" borderId="0" xfId="2" applyFont="1" applyBorder="1" applyAlignment="1">
      <alignment horizontal="center" vertical="center" wrapText="1"/>
    </xf>
    <xf numFmtId="9" fontId="0" fillId="0" borderId="16" xfId="2" applyFont="1" applyBorder="1" applyAlignment="1">
      <alignment horizontal="center" vertical="center" wrapText="1"/>
    </xf>
    <xf numFmtId="9" fontId="0" fillId="4" borderId="18" xfId="2" applyFont="1" applyFill="1" applyBorder="1" applyAlignment="1">
      <alignment horizontal="center" vertical="center" wrapText="1"/>
    </xf>
    <xf numFmtId="9" fontId="0" fillId="4" borderId="19" xfId="2" applyFont="1" applyFill="1" applyBorder="1" applyAlignment="1">
      <alignment horizontal="center" vertical="center" wrapText="1"/>
    </xf>
    <xf numFmtId="0" fontId="0" fillId="22" borderId="0" xfId="0" applyFill="1" applyAlignment="1">
      <alignment horizontal="left" vertical="center" wrapText="1"/>
    </xf>
    <xf numFmtId="0" fontId="8" fillId="22" borderId="0" xfId="0" applyFont="1" applyFill="1" applyAlignment="1">
      <alignment horizontal="left" vertical="center" wrapText="1"/>
    </xf>
    <xf numFmtId="0" fontId="0" fillId="22" borderId="0" xfId="0" applyFill="1" applyAlignment="1">
      <alignment horizontal="right" vertical="center" wrapText="1"/>
    </xf>
    <xf numFmtId="0" fontId="8" fillId="22" borderId="0" xfId="0" applyFont="1" applyFill="1" applyAlignment="1">
      <alignment horizontal="center" vertical="center" wrapText="1"/>
    </xf>
    <xf numFmtId="3" fontId="0" fillId="22" borderId="0" xfId="0" applyNumberFormat="1" applyFill="1" applyAlignment="1">
      <alignment horizontal="left" vertical="center" wrapText="1"/>
    </xf>
    <xf numFmtId="0" fontId="0" fillId="22" borderId="0" xfId="0" applyFill="1" applyAlignment="1">
      <alignment horizontal="left" vertical="center" wrapText="1"/>
    </xf>
    <xf numFmtId="0" fontId="3" fillId="0" borderId="0" xfId="0" applyFont="1" applyFill="1" applyBorder="1" applyAlignment="1">
      <alignment horizontal="right" vertical="center" wrapText="1"/>
    </xf>
    <xf numFmtId="164" fontId="0" fillId="4" borderId="0" xfId="2" applyNumberFormat="1" applyFont="1" applyFill="1" applyBorder="1" applyAlignment="1">
      <alignment horizontal="center" vertical="center" wrapText="1"/>
    </xf>
    <xf numFmtId="164" fontId="0" fillId="4" borderId="16" xfId="2" applyNumberFormat="1" applyFont="1" applyFill="1" applyBorder="1" applyAlignment="1">
      <alignment horizontal="center" vertical="center" wrapText="1"/>
    </xf>
    <xf numFmtId="164" fontId="0" fillId="0" borderId="0" xfId="2" applyNumberFormat="1" applyFont="1" applyBorder="1" applyAlignment="1">
      <alignment horizontal="center" vertical="center" wrapText="1"/>
    </xf>
    <xf numFmtId="164" fontId="0" fillId="0" borderId="16" xfId="2" applyNumberFormat="1" applyFont="1" applyBorder="1" applyAlignment="1">
      <alignment horizontal="center" vertical="center" wrapText="1"/>
    </xf>
    <xf numFmtId="164" fontId="0" fillId="0" borderId="18" xfId="2" applyNumberFormat="1" applyFont="1" applyBorder="1" applyAlignment="1">
      <alignment horizontal="center" vertical="center" wrapText="1"/>
    </xf>
    <xf numFmtId="164" fontId="0" fillId="0" borderId="19" xfId="2" applyNumberFormat="1" applyFont="1" applyBorder="1" applyAlignment="1">
      <alignment horizontal="center" vertical="center" wrapText="1"/>
    </xf>
    <xf numFmtId="165" fontId="0" fillId="4" borderId="0" xfId="0" applyNumberFormat="1" applyFill="1" applyBorder="1" applyAlignment="1">
      <alignment horizontal="center" vertical="center" wrapText="1"/>
    </xf>
    <xf numFmtId="165" fontId="0" fillId="4" borderId="16" xfId="0" applyNumberFormat="1" applyFill="1" applyBorder="1" applyAlignment="1">
      <alignment horizontal="center" vertical="center" wrapText="1"/>
    </xf>
    <xf numFmtId="165" fontId="0" fillId="0" borderId="0" xfId="0" applyNumberFormat="1" applyFill="1" applyBorder="1" applyAlignment="1">
      <alignment horizontal="center" vertical="center" wrapText="1"/>
    </xf>
    <xf numFmtId="165" fontId="0" fillId="0" borderId="16" xfId="0" applyNumberFormat="1" applyFill="1" applyBorder="1" applyAlignment="1">
      <alignment horizontal="center" vertical="center" wrapText="1"/>
    </xf>
    <xf numFmtId="165" fontId="0" fillId="0" borderId="18" xfId="0" applyNumberFormat="1" applyFill="1" applyBorder="1" applyAlignment="1">
      <alignment horizontal="center" vertical="center" wrapText="1"/>
    </xf>
    <xf numFmtId="165" fontId="0" fillId="0" borderId="19" xfId="0" applyNumberFormat="1" applyFill="1" applyBorder="1" applyAlignment="1">
      <alignment horizontal="center" vertical="center" wrapText="1"/>
    </xf>
    <xf numFmtId="165" fontId="3" fillId="4"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165" fontId="4" fillId="23" borderId="0" xfId="0" applyNumberFormat="1" applyFont="1" applyFill="1" applyBorder="1" applyAlignment="1">
      <alignment horizontal="center" vertical="center"/>
    </xf>
    <xf numFmtId="3" fontId="3" fillId="23" borderId="0" xfId="0" applyNumberFormat="1" applyFont="1" applyFill="1" applyBorder="1" applyAlignment="1">
      <alignment horizontal="center" vertical="center" wrapText="1"/>
    </xf>
    <xf numFmtId="3" fontId="9" fillId="23" borderId="0" xfId="0" applyNumberFormat="1" applyFont="1" applyFill="1" applyBorder="1" applyAlignment="1">
      <alignment vertical="center" wrapText="1"/>
    </xf>
    <xf numFmtId="3" fontId="4" fillId="23" borderId="0" xfId="0" applyNumberFormat="1" applyFont="1" applyFill="1" applyBorder="1" applyAlignment="1">
      <alignment horizontal="center" vertical="center" wrapText="1"/>
    </xf>
    <xf numFmtId="164" fontId="3" fillId="23" borderId="0" xfId="2" applyNumberFormat="1" applyFont="1" applyFill="1" applyBorder="1" applyAlignment="1">
      <alignment horizontal="center" vertical="center" wrapText="1"/>
    </xf>
    <xf numFmtId="164" fontId="4" fillId="23" borderId="0" xfId="2" applyNumberFormat="1" applyFont="1" applyFill="1" applyBorder="1" applyAlignment="1">
      <alignment horizontal="center" vertical="center" wrapText="1"/>
    </xf>
    <xf numFmtId="2" fontId="3" fillId="23" borderId="0" xfId="2" applyNumberFormat="1" applyFont="1" applyFill="1" applyBorder="1" applyAlignment="1">
      <alignment horizontal="center" vertical="center" wrapText="1"/>
    </xf>
    <xf numFmtId="4" fontId="3" fillId="23" borderId="0" xfId="0" applyNumberFormat="1" applyFont="1" applyFill="1" applyBorder="1" applyAlignment="1">
      <alignment horizontal="center" vertical="center" wrapText="1"/>
    </xf>
    <xf numFmtId="4" fontId="4" fillId="23" borderId="0" xfId="0" applyNumberFormat="1" applyFont="1" applyFill="1" applyBorder="1" applyAlignment="1">
      <alignment horizontal="center" vertical="center" wrapText="1"/>
    </xf>
    <xf numFmtId="3" fontId="0" fillId="23" borderId="0" xfId="0" applyNumberFormat="1" applyFill="1" applyAlignment="1">
      <alignment horizontal="left" vertical="center" wrapText="1"/>
    </xf>
    <xf numFmtId="9" fontId="0" fillId="0" borderId="0" xfId="2" applyFont="1" applyFill="1" applyBorder="1" applyAlignment="1">
      <alignment vertical="center" wrapText="1"/>
    </xf>
    <xf numFmtId="9" fontId="0" fillId="0" borderId="16" xfId="2" applyFont="1" applyFill="1" applyBorder="1" applyAlignment="1">
      <alignment vertical="center" wrapText="1"/>
    </xf>
    <xf numFmtId="0" fontId="20" fillId="15" borderId="0" xfId="0" applyFont="1" applyFill="1" applyBorder="1" applyAlignment="1">
      <alignment horizontal="right" vertical="center" wrapText="1"/>
    </xf>
    <xf numFmtId="3" fontId="20" fillId="0" borderId="0" xfId="0" applyNumberFormat="1" applyFont="1" applyFill="1" applyBorder="1" applyAlignment="1">
      <alignment horizontal="center" vertical="center" wrapText="1"/>
    </xf>
    <xf numFmtId="3" fontId="20" fillId="23" borderId="0" xfId="0" applyNumberFormat="1" applyFont="1" applyFill="1" applyBorder="1" applyAlignment="1">
      <alignment horizontal="center" vertical="center" wrapText="1"/>
    </xf>
    <xf numFmtId="3" fontId="20" fillId="15" borderId="0" xfId="0" applyNumberFormat="1" applyFont="1" applyFill="1" applyBorder="1" applyAlignment="1">
      <alignment horizontal="center" vertical="center" wrapText="1"/>
    </xf>
    <xf numFmtId="0" fontId="20" fillId="15" borderId="0" xfId="0" applyFont="1" applyFill="1" applyBorder="1" applyAlignment="1">
      <alignment horizontal="left" vertical="center" wrapText="1"/>
    </xf>
    <xf numFmtId="3" fontId="9" fillId="0" borderId="0" xfId="0" applyNumberFormat="1" applyFont="1" applyFill="1" applyBorder="1" applyAlignment="1">
      <alignment vertical="center" wrapText="1"/>
    </xf>
    <xf numFmtId="0" fontId="21" fillId="0" borderId="0" xfId="0" applyFont="1" applyFill="1" applyBorder="1" applyAlignment="1">
      <alignment horizontal="left" vertical="center"/>
    </xf>
    <xf numFmtId="0" fontId="21" fillId="0" borderId="15"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9" fillId="15" borderId="0" xfId="0" applyFont="1" applyFill="1"/>
    <xf numFmtId="165" fontId="9" fillId="0" borderId="0" xfId="1" applyNumberFormat="1" applyFont="1" applyFill="1" applyAlignment="1">
      <alignment horizontal="center" vertical="center"/>
    </xf>
    <xf numFmtId="165" fontId="9" fillId="23" borderId="0" xfId="1" applyNumberFormat="1" applyFont="1" applyFill="1" applyAlignment="1">
      <alignment horizontal="center" vertical="center"/>
    </xf>
    <xf numFmtId="0" fontId="9" fillId="0" borderId="0" xfId="0" applyFont="1"/>
    <xf numFmtId="165" fontId="9" fillId="15" borderId="0" xfId="1" applyNumberFormat="1" applyFont="1" applyFill="1" applyAlignment="1">
      <alignment horizontal="center" vertical="center"/>
    </xf>
    <xf numFmtId="0" fontId="9" fillId="0" borderId="0" xfId="0" applyFont="1" applyAlignment="1">
      <alignment wrapText="1"/>
    </xf>
    <xf numFmtId="165" fontId="9" fillId="0" borderId="0" xfId="0" applyNumberFormat="1" applyFont="1" applyFill="1" applyAlignment="1">
      <alignment horizontal="center" vertical="center"/>
    </xf>
    <xf numFmtId="165" fontId="9" fillId="23" borderId="0" xfId="0" applyNumberFormat="1" applyFont="1" applyFill="1" applyAlignment="1">
      <alignment horizontal="center" vertical="center"/>
    </xf>
    <xf numFmtId="165" fontId="9" fillId="15" borderId="0" xfId="0" applyNumberFormat="1" applyFont="1" applyFill="1" applyAlignment="1">
      <alignment horizontal="center" vertical="center"/>
    </xf>
    <xf numFmtId="0" fontId="0" fillId="0" borderId="0" xfId="0" applyFont="1" applyBorder="1" applyAlignment="1">
      <alignment vertical="center" wrapText="1"/>
    </xf>
    <xf numFmtId="3" fontId="0" fillId="23" borderId="0" xfId="0" applyNumberFormat="1" applyFont="1" applyFill="1" applyBorder="1" applyAlignment="1">
      <alignment vertical="center" wrapText="1"/>
    </xf>
    <xf numFmtId="3" fontId="0" fillId="0" borderId="0" xfId="0" applyNumberFormat="1" applyFont="1" applyBorder="1" applyAlignment="1">
      <alignment vertical="center" wrapText="1"/>
    </xf>
    <xf numFmtId="3"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21" fillId="0" borderId="0" xfId="0" applyFont="1" applyFill="1" applyBorder="1" applyAlignment="1">
      <alignment horizontal="right" vertical="center" wrapText="1"/>
    </xf>
    <xf numFmtId="4" fontId="3" fillId="0" borderId="0" xfId="0" applyNumberFormat="1" applyFont="1" applyFill="1" applyBorder="1" applyAlignment="1">
      <alignment horizontal="center" vertical="center" wrapText="1"/>
    </xf>
    <xf numFmtId="166" fontId="0" fillId="23" borderId="0" xfId="0" applyNumberFormat="1" applyFill="1" applyAlignment="1">
      <alignment horizontal="left" vertical="center" wrapText="1"/>
    </xf>
    <xf numFmtId="166" fontId="0" fillId="22" borderId="0" xfId="0" applyNumberFormat="1" applyFill="1" applyAlignment="1">
      <alignment horizontal="left" vertical="center" wrapText="1"/>
    </xf>
    <xf numFmtId="4" fontId="0" fillId="23" borderId="0" xfId="0" applyNumberFormat="1" applyFill="1" applyAlignment="1">
      <alignment horizontal="left" vertical="center" wrapText="1"/>
    </xf>
    <xf numFmtId="4" fontId="0" fillId="22" borderId="0" xfId="0" applyNumberFormat="1" applyFill="1" applyAlignment="1">
      <alignment horizontal="left" vertical="center" wrapText="1"/>
    </xf>
    <xf numFmtId="0" fontId="4" fillId="0" borderId="0" xfId="0" applyFont="1" applyFill="1" applyBorder="1" applyAlignment="1">
      <alignment horizontal="right" vertical="center" wrapText="1"/>
    </xf>
    <xf numFmtId="0" fontId="4" fillId="22" borderId="0" xfId="0" applyFont="1" applyFill="1" applyBorder="1" applyAlignment="1">
      <alignment horizontal="right" vertical="center" wrapText="1"/>
    </xf>
    <xf numFmtId="0" fontId="11" fillId="23" borderId="0" xfId="0" applyFont="1" applyFill="1" applyBorder="1" applyAlignment="1">
      <alignment horizontal="center" vertical="center" wrapText="1"/>
    </xf>
    <xf numFmtId="0" fontId="23" fillId="23" borderId="0"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167" fontId="0" fillId="0" borderId="18" xfId="1" applyNumberFormat="1" applyFont="1" applyBorder="1" applyAlignment="1">
      <alignment horizontal="center" vertical="center" wrapText="1"/>
    </xf>
    <xf numFmtId="9" fontId="0" fillId="0" borderId="18" xfId="2" applyFont="1" applyBorder="1" applyAlignment="1">
      <alignment horizontal="center" vertical="center" wrapText="1"/>
    </xf>
    <xf numFmtId="9" fontId="0" fillId="0" borderId="19" xfId="2" applyFont="1" applyBorder="1" applyAlignment="1">
      <alignment horizontal="center" vertical="center" wrapText="1"/>
    </xf>
    <xf numFmtId="0" fontId="10" fillId="6" borderId="20" xfId="0" applyFont="1" applyFill="1" applyBorder="1" applyAlignment="1">
      <alignment horizontal="center" vertical="center" wrapText="1"/>
    </xf>
    <xf numFmtId="0" fontId="8" fillId="4" borderId="0" xfId="0" applyFont="1" applyFill="1" applyBorder="1" applyAlignment="1">
      <alignment horizontal="left" vertical="center" wrapText="1"/>
    </xf>
    <xf numFmtId="3" fontId="8" fillId="4" borderId="0" xfId="0" applyNumberFormat="1" applyFont="1" applyFill="1"/>
    <xf numFmtId="0" fontId="8" fillId="4" borderId="0" xfId="0" applyFont="1" applyFill="1"/>
    <xf numFmtId="3" fontId="8" fillId="4"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8" fillId="0" borderId="0" xfId="0" applyFont="1" applyAlignment="1"/>
    <xf numFmtId="164" fontId="3" fillId="0" borderId="0" xfId="2" applyNumberFormat="1" applyFont="1" applyFill="1" applyBorder="1" applyAlignment="1">
      <alignment horizontal="center" vertical="center" wrapText="1"/>
    </xf>
    <xf numFmtId="0" fontId="0" fillId="16" borderId="0" xfId="0" applyFill="1" applyBorder="1" applyAlignment="1">
      <alignment vertical="center" wrapText="1"/>
    </xf>
    <xf numFmtId="0" fontId="0" fillId="16" borderId="15" xfId="0" applyFill="1" applyBorder="1" applyAlignment="1">
      <alignment vertical="center" wrapText="1"/>
    </xf>
    <xf numFmtId="0" fontId="0" fillId="0" borderId="0" xfId="0" applyBorder="1" applyAlignment="1">
      <alignment vertical="top"/>
    </xf>
    <xf numFmtId="0" fontId="0" fillId="0" borderId="6" xfId="0" applyBorder="1" applyAlignment="1">
      <alignment vertical="center"/>
    </xf>
    <xf numFmtId="0" fontId="10" fillId="7"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0" fillId="11" borderId="0" xfId="0" applyFont="1" applyFill="1" applyBorder="1" applyAlignment="1">
      <alignment horizontal="center" vertical="center" wrapText="1"/>
    </xf>
    <xf numFmtId="0" fontId="6" fillId="0" borderId="0" xfId="0" applyFont="1" applyAlignment="1">
      <alignment horizontal="center" vertical="center" wrapText="1"/>
    </xf>
    <xf numFmtId="0" fontId="25" fillId="0" borderId="0" xfId="0" applyFont="1" applyAlignment="1">
      <alignment horizontal="center" vertical="center" wrapText="1"/>
    </xf>
    <xf numFmtId="0" fontId="8" fillId="0" borderId="18" xfId="0" applyFont="1" applyBorder="1" applyAlignment="1">
      <alignment horizontal="center" wrapText="1"/>
    </xf>
    <xf numFmtId="0" fontId="12" fillId="23" borderId="21" xfId="0" applyFont="1" applyFill="1" applyBorder="1" applyAlignment="1">
      <alignment horizontal="center" vertical="center" wrapText="1"/>
    </xf>
    <xf numFmtId="0" fontId="12" fillId="23" borderId="22" xfId="0" applyFont="1" applyFill="1" applyBorder="1" applyAlignment="1">
      <alignment horizontal="center" vertical="center" wrapText="1"/>
    </xf>
    <xf numFmtId="0" fontId="8" fillId="23" borderId="0" xfId="0" applyFont="1" applyFill="1" applyBorder="1" applyAlignment="1">
      <alignment horizontal="center" vertical="center" wrapText="1"/>
    </xf>
    <xf numFmtId="0" fontId="0" fillId="0" borderId="1" xfId="0" applyBorder="1" applyAlignment="1">
      <alignment horizontal="center" vertical="top"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2" fillId="0" borderId="2" xfId="0" applyFont="1" applyBorder="1" applyAlignment="1">
      <alignment horizontal="center" vertical="center"/>
    </xf>
    <xf numFmtId="14" fontId="12" fillId="0" borderId="3" xfId="0" applyNumberFormat="1" applyFont="1" applyBorder="1" applyAlignment="1">
      <alignment horizontal="center" vertical="center"/>
    </xf>
    <xf numFmtId="14" fontId="12" fillId="0" borderId="1" xfId="0" applyNumberFormat="1" applyFont="1" applyBorder="1" applyAlignment="1">
      <alignment horizontal="center" vertical="center"/>
    </xf>
    <xf numFmtId="0" fontId="7" fillId="0" borderId="1" xfId="0" applyFont="1" applyBorder="1" applyAlignment="1">
      <alignment horizontal="center" vertical="center"/>
    </xf>
    <xf numFmtId="0" fontId="0" fillId="0" borderId="0" xfId="0" applyBorder="1" applyAlignment="1">
      <alignment horizontal="left" vertical="center" wrapText="1"/>
    </xf>
    <xf numFmtId="0" fontId="8" fillId="0" borderId="13" xfId="0"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vertical="center"/>
    </xf>
    <xf numFmtId="0" fontId="0" fillId="16" borderId="15" xfId="0" applyFill="1" applyBorder="1" applyAlignment="1">
      <alignment horizontal="center" vertical="center" wrapText="1"/>
    </xf>
    <xf numFmtId="0" fontId="0" fillId="16" borderId="0" xfId="0"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xf>
    <xf numFmtId="0" fontId="3" fillId="4" borderId="1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0" borderId="1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2" fillId="0" borderId="1" xfId="0" applyFont="1" applyBorder="1" applyAlignment="1">
      <alignment horizontal="center" vertical="top" wrapText="1"/>
    </xf>
    <xf numFmtId="0" fontId="8" fillId="4" borderId="17"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3" fillId="4" borderId="1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0" fillId="0" borderId="1" xfId="0" applyBorder="1" applyAlignment="1">
      <alignment horizontal="center" vertical="top"/>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18" fillId="21" borderId="0" xfId="0" applyFont="1" applyFill="1" applyAlignment="1">
      <alignment horizontal="center" vertical="center" wrapText="1"/>
    </xf>
    <xf numFmtId="0" fontId="0" fillId="0" borderId="0" xfId="0" applyAlignment="1">
      <alignment horizontal="center" vertical="center" wrapText="1"/>
    </xf>
    <xf numFmtId="0" fontId="0" fillId="22" borderId="0" xfId="0" applyFill="1" applyAlignment="1">
      <alignment horizontal="left" vertical="center" wrapText="1"/>
    </xf>
    <xf numFmtId="0" fontId="18" fillId="18" borderId="0" xfId="0" applyFont="1" applyFill="1" applyAlignment="1">
      <alignment horizontal="center" vertical="center" wrapText="1"/>
    </xf>
    <xf numFmtId="0" fontId="18" fillId="20" borderId="0" xfId="0" applyFont="1" applyFill="1" applyAlignment="1">
      <alignment horizontal="center" vertical="center" wrapText="1"/>
    </xf>
    <xf numFmtId="0" fontId="18" fillId="19" borderId="0" xfId="0" applyFont="1" applyFill="1" applyAlignment="1">
      <alignment horizontal="center" vertical="center" wrapText="1"/>
    </xf>
  </cellXfs>
  <cellStyles count="3">
    <cellStyle name="Milliers" xfId="1" builtinId="3"/>
    <cellStyle name="Normal" xfId="0" builtinId="0"/>
    <cellStyle name="Pourcentage" xfId="2" builtinId="5"/>
  </cellStyles>
  <dxfs count="13">
    <dxf>
      <font>
        <b val="0"/>
        <i val="0"/>
        <color theme="0"/>
      </font>
    </dxf>
    <dxf>
      <font>
        <b val="0"/>
        <i val="0"/>
        <color theme="0"/>
      </font>
    </dxf>
    <dxf>
      <font>
        <b val="0"/>
        <i val="0"/>
        <color theme="0"/>
      </font>
    </dxf>
    <dxf>
      <font>
        <b val="0"/>
        <i val="0"/>
        <strike val="0"/>
        <color theme="0"/>
      </font>
    </dxf>
    <dxf>
      <font>
        <b val="0"/>
        <i val="0"/>
        <color theme="0"/>
      </font>
    </dxf>
    <dxf>
      <font>
        <b val="0"/>
        <i val="0"/>
        <color theme="0"/>
      </font>
    </dxf>
    <dxf>
      <font>
        <b val="0"/>
        <i val="0"/>
        <color theme="0"/>
      </font>
    </dxf>
    <dxf>
      <font>
        <b val="0"/>
        <i val="0"/>
        <color theme="0"/>
      </font>
    </dxf>
    <dxf>
      <font>
        <b val="0"/>
        <i val="0"/>
        <color theme="0"/>
      </font>
    </dxf>
    <dxf>
      <font>
        <b val="0"/>
        <i val="0"/>
        <color theme="0"/>
      </font>
    </dxf>
    <dxf>
      <font>
        <b val="0"/>
        <i val="0"/>
        <color theme="0"/>
      </font>
    </dxf>
    <dxf>
      <font>
        <b val="0"/>
        <i val="0"/>
        <color theme="0"/>
      </font>
    </dxf>
    <dxf>
      <font>
        <b val="0"/>
        <i val="0"/>
        <color theme="0"/>
      </font>
    </dxf>
  </dxfs>
  <tableStyles count="0" defaultTableStyle="TableStyleMedium2" defaultPivotStyle="PivotStyleLight16"/>
  <colors>
    <mruColors>
      <color rgb="FFFFFFCC"/>
      <color rgb="FFFFFFEB"/>
      <color rgb="FFFFFF66"/>
      <color rgb="FFC86260"/>
      <color rgb="FFD381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Evolution</a:t>
            </a:r>
            <a:r>
              <a:rPr lang="fr-FR" sz="1200" baseline="0"/>
              <a:t> de la masse salariale et des recettes T2A</a:t>
            </a:r>
            <a:endParaRPr lang="fr-FR" sz="1200"/>
          </a:p>
        </c:rich>
      </c:tx>
      <c:layout/>
      <c:overlay val="0"/>
    </c:title>
    <c:autoTitleDeleted val="0"/>
    <c:plotArea>
      <c:layout>
        <c:manualLayout>
          <c:layoutTarget val="inner"/>
          <c:xMode val="edge"/>
          <c:yMode val="edge"/>
          <c:x val="0.10541907261592301"/>
          <c:y val="0.14080554002975673"/>
          <c:w val="0.72557156161931369"/>
          <c:h val="0.69222002297423824"/>
        </c:manualLayout>
      </c:layout>
      <c:lineChart>
        <c:grouping val="standard"/>
        <c:varyColors val="0"/>
        <c:ser>
          <c:idx val="0"/>
          <c:order val="0"/>
          <c:tx>
            <c:v>Masse salariale du budget H - réalisé</c:v>
          </c:tx>
          <c:spPr>
            <a:ln>
              <a:solidFill>
                <a:schemeClr val="accent2"/>
              </a:solidFill>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'Masse salariale'!$Q$35:$AB$35</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1"/>
          <c:order val="1"/>
          <c:tx>
            <c:v>Recettes T2A - réalisé</c:v>
          </c:tx>
          <c:spPr>
            <a:ln>
              <a:solidFill>
                <a:schemeClr val="accent1"/>
              </a:solidFill>
              <a:prstDash val="solid"/>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'Recettes T2A'!$D$14:$O$14</c:f>
              <c:numCache>
                <c:formatCode>#,##0.00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dLbls>
          <c:showLegendKey val="0"/>
          <c:showVal val="0"/>
          <c:showCatName val="0"/>
          <c:showSerName val="0"/>
          <c:showPercent val="0"/>
          <c:showBubbleSize val="0"/>
        </c:dLbls>
        <c:marker val="1"/>
        <c:smooth val="0"/>
        <c:axId val="93588480"/>
        <c:axId val="93590272"/>
      </c:lineChart>
      <c:catAx>
        <c:axId val="93588480"/>
        <c:scaling>
          <c:orientation val="minMax"/>
        </c:scaling>
        <c:delete val="0"/>
        <c:axPos val="b"/>
        <c:majorTickMark val="out"/>
        <c:minorTickMark val="none"/>
        <c:tickLblPos val="nextTo"/>
        <c:txPr>
          <a:bodyPr/>
          <a:lstStyle/>
          <a:p>
            <a:pPr>
              <a:defRPr sz="900"/>
            </a:pPr>
            <a:endParaRPr lang="fr-FR"/>
          </a:p>
        </c:txPr>
        <c:crossAx val="93590272"/>
        <c:crosses val="autoZero"/>
        <c:auto val="1"/>
        <c:lblAlgn val="ctr"/>
        <c:lblOffset val="100"/>
        <c:noMultiLvlLbl val="0"/>
      </c:catAx>
      <c:valAx>
        <c:axId val="93590272"/>
        <c:scaling>
          <c:orientation val="minMax"/>
        </c:scaling>
        <c:delete val="0"/>
        <c:axPos val="l"/>
        <c:majorGridlines/>
        <c:numFmt formatCode="#,##0" sourceLinked="1"/>
        <c:majorTickMark val="out"/>
        <c:minorTickMark val="none"/>
        <c:tickLblPos val="nextTo"/>
        <c:crossAx val="93588480"/>
        <c:crosses val="autoZero"/>
        <c:crossBetween val="between"/>
      </c:valAx>
    </c:plotArea>
    <c:legend>
      <c:legendPos val="r"/>
      <c:layout>
        <c:manualLayout>
          <c:xMode val="edge"/>
          <c:yMode val="edge"/>
          <c:x val="0.84109050884768433"/>
          <c:y val="0.22114403230801533"/>
          <c:w val="0.14224270353302612"/>
          <c:h val="0.48871162368456333"/>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Rémunération budget H - Personnel médical - cumulé annuel</a:t>
            </a:r>
          </a:p>
        </c:rich>
      </c:tx>
      <c:layout/>
      <c:overlay val="0"/>
    </c:title>
    <c:autoTitleDeleted val="0"/>
    <c:plotArea>
      <c:layout>
        <c:manualLayout>
          <c:layoutTarget val="inner"/>
          <c:xMode val="edge"/>
          <c:yMode val="edge"/>
          <c:x val="0.12764129483814524"/>
          <c:y val="0.18893005570441559"/>
          <c:w val="0.59789938757655292"/>
          <c:h val="0.62381225876177238"/>
        </c:manualLayout>
      </c:layout>
      <c:lineChart>
        <c:grouping val="standard"/>
        <c:varyColors val="0"/>
        <c:ser>
          <c:idx val="0"/>
          <c:order val="0"/>
          <c:tx>
            <c:v>Rémunération PM année N</c:v>
          </c:tx>
          <c:spPr>
            <a:ln>
              <a:solidFill>
                <a:schemeClr val="accent2"/>
              </a:solidFill>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'Masse salariale'!$Q$26:$AB$26</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1"/>
          <c:order val="1"/>
          <c:tx>
            <c:v>Rémunération PM année N - prévision</c:v>
          </c:tx>
          <c:spPr>
            <a:ln>
              <a:solidFill>
                <a:schemeClr val="accent2">
                  <a:lumMod val="60000"/>
                  <a:lumOff val="40000"/>
                </a:schemeClr>
              </a:solidFill>
              <a:prstDash val="dash"/>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'Masse salariale'!$Q$27:$AB$27</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2"/>
          <c:order val="2"/>
          <c:tx>
            <c:v>Rémunération PM année N-1 - réalisé</c:v>
          </c:tx>
          <c:spPr>
            <a:ln>
              <a:solidFill>
                <a:schemeClr val="accent1">
                  <a:lumMod val="60000"/>
                  <a:lumOff val="40000"/>
                </a:schemeClr>
              </a:solidFill>
            </a:ln>
          </c:spPr>
          <c:marker>
            <c:symbol val="none"/>
          </c:marker>
          <c:val>
            <c:numRef>
              <c:f>'Base données mensuelles n-1'!$B$39:$M$39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0813824"/>
        <c:axId val="100823808"/>
      </c:lineChart>
      <c:catAx>
        <c:axId val="100813824"/>
        <c:scaling>
          <c:orientation val="minMax"/>
        </c:scaling>
        <c:delete val="0"/>
        <c:axPos val="b"/>
        <c:majorTickMark val="out"/>
        <c:minorTickMark val="none"/>
        <c:tickLblPos val="nextTo"/>
        <c:txPr>
          <a:bodyPr/>
          <a:lstStyle/>
          <a:p>
            <a:pPr>
              <a:defRPr sz="900"/>
            </a:pPr>
            <a:endParaRPr lang="fr-FR"/>
          </a:p>
        </c:txPr>
        <c:crossAx val="100823808"/>
        <c:crosses val="autoZero"/>
        <c:auto val="1"/>
        <c:lblAlgn val="ctr"/>
        <c:lblOffset val="100"/>
        <c:noMultiLvlLbl val="0"/>
      </c:catAx>
      <c:valAx>
        <c:axId val="100823808"/>
        <c:scaling>
          <c:orientation val="minMax"/>
        </c:scaling>
        <c:delete val="0"/>
        <c:axPos val="l"/>
        <c:majorGridlines/>
        <c:numFmt formatCode="#,##0" sourceLinked="1"/>
        <c:majorTickMark val="out"/>
        <c:minorTickMark val="none"/>
        <c:tickLblPos val="nextTo"/>
        <c:crossAx val="100813824"/>
        <c:crosses val="autoZero"/>
        <c:crossBetween val="between"/>
      </c:valAx>
    </c:plotArea>
    <c:legend>
      <c:legendPos val="r"/>
      <c:layout>
        <c:manualLayout>
          <c:xMode val="edge"/>
          <c:yMode val="edge"/>
          <c:x val="0.74359623797025376"/>
          <c:y val="0.20689691560434315"/>
          <c:w val="0.23973709536307961"/>
          <c:h val="0.55612070194541197"/>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Masse salariale budget H - PM et PNM - cumulé</a:t>
            </a:r>
            <a:r>
              <a:rPr lang="fr-FR" sz="1200" baseline="0"/>
              <a:t> annuel</a:t>
            </a:r>
            <a:endParaRPr lang="fr-FR" sz="1200"/>
          </a:p>
        </c:rich>
      </c:tx>
      <c:layout/>
      <c:overlay val="0"/>
    </c:title>
    <c:autoTitleDeleted val="0"/>
    <c:plotArea>
      <c:layout>
        <c:manualLayout>
          <c:layoutTarget val="inner"/>
          <c:xMode val="edge"/>
          <c:yMode val="edge"/>
          <c:x val="0.130419072615923"/>
          <c:y val="0.17716535433070865"/>
          <c:w val="0.60689873140857398"/>
          <c:h val="0.62381225876177238"/>
        </c:manualLayout>
      </c:layout>
      <c:lineChart>
        <c:grouping val="standard"/>
        <c:varyColors val="0"/>
        <c:ser>
          <c:idx val="0"/>
          <c:order val="0"/>
          <c:tx>
            <c:v>Titre 1 hors personnel extérieur année N - réalisé</c:v>
          </c:tx>
          <c:spPr>
            <a:ln>
              <a:solidFill>
                <a:schemeClr val="accent2"/>
              </a:solidFill>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'Masse salariale'!$Q$28:$AB$28</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1"/>
          <c:order val="1"/>
          <c:tx>
            <c:v>Titre 1 hors personnel extérieur année N - prévision</c:v>
          </c:tx>
          <c:spPr>
            <a:ln>
              <a:solidFill>
                <a:schemeClr val="accent2">
                  <a:lumMod val="60000"/>
                  <a:lumOff val="40000"/>
                </a:schemeClr>
              </a:solidFill>
              <a:prstDash val="dash"/>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'Masse salariale'!$Q$29:$AB$29</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2"/>
          <c:order val="2"/>
          <c:tx>
            <c:v>Titre 1 hors personnel extérieur année N-1 - réalisé</c:v>
          </c:tx>
          <c:spPr>
            <a:ln>
              <a:solidFill>
                <a:schemeClr val="accent1">
                  <a:lumMod val="60000"/>
                  <a:lumOff val="40000"/>
                </a:schemeClr>
              </a:solidFill>
            </a:ln>
          </c:spPr>
          <c:marker>
            <c:symbol val="none"/>
          </c:marker>
          <c:val>
            <c:numRef>
              <c:f>'Base données mensuelles n-1'!$B$35:$M$35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0841728"/>
        <c:axId val="100855808"/>
      </c:lineChart>
      <c:catAx>
        <c:axId val="100841728"/>
        <c:scaling>
          <c:orientation val="minMax"/>
        </c:scaling>
        <c:delete val="0"/>
        <c:axPos val="b"/>
        <c:majorTickMark val="out"/>
        <c:minorTickMark val="none"/>
        <c:tickLblPos val="nextTo"/>
        <c:txPr>
          <a:bodyPr/>
          <a:lstStyle/>
          <a:p>
            <a:pPr>
              <a:defRPr sz="900"/>
            </a:pPr>
            <a:endParaRPr lang="fr-FR"/>
          </a:p>
        </c:txPr>
        <c:crossAx val="100855808"/>
        <c:crosses val="autoZero"/>
        <c:auto val="1"/>
        <c:lblAlgn val="ctr"/>
        <c:lblOffset val="100"/>
        <c:noMultiLvlLbl val="0"/>
      </c:catAx>
      <c:valAx>
        <c:axId val="100855808"/>
        <c:scaling>
          <c:orientation val="minMax"/>
        </c:scaling>
        <c:delete val="0"/>
        <c:axPos val="l"/>
        <c:majorGridlines/>
        <c:numFmt formatCode="#,##0" sourceLinked="1"/>
        <c:majorTickMark val="out"/>
        <c:minorTickMark val="none"/>
        <c:tickLblPos val="nextTo"/>
        <c:crossAx val="100841728"/>
        <c:crosses val="autoZero"/>
        <c:crossBetween val="between"/>
      </c:valAx>
    </c:plotArea>
    <c:legend>
      <c:legendPos val="r"/>
      <c:layout>
        <c:manualLayout>
          <c:xMode val="edge"/>
          <c:yMode val="edge"/>
          <c:x val="0.744762467191601"/>
          <c:y val="0.17362297359888837"/>
          <c:w val="0.23857086614173229"/>
          <c:h val="0.7651724563841284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Séjours MCO hors séances - cumulé annuel</a:t>
            </a:r>
          </a:p>
        </c:rich>
      </c:tx>
      <c:layout/>
      <c:overlay val="0"/>
    </c:title>
    <c:autoTitleDeleted val="0"/>
    <c:plotArea>
      <c:layout>
        <c:manualLayout>
          <c:layoutTarget val="inner"/>
          <c:xMode val="edge"/>
          <c:yMode val="edge"/>
          <c:x val="0.12774725211750279"/>
          <c:y val="0.15841601571823752"/>
          <c:w val="0.5925337826221504"/>
          <c:h val="0.58831153495093258"/>
        </c:manualLayout>
      </c:layout>
      <c:lineChart>
        <c:grouping val="standard"/>
        <c:varyColors val="0"/>
        <c:ser>
          <c:idx val="0"/>
          <c:order val="0"/>
          <c:tx>
            <c:v>MCO hors séances année N - réalisé</c:v>
          </c:tx>
          <c:spPr>
            <a:ln>
              <a:solidFill>
                <a:schemeClr val="accent2"/>
              </a:solidFill>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Activité!$Q$19:$AB$19</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1"/>
          <c:order val="1"/>
          <c:tx>
            <c:v>MCO hors séances année N - prévision</c:v>
          </c:tx>
          <c:spPr>
            <a:ln>
              <a:solidFill>
                <a:schemeClr val="accent2">
                  <a:lumMod val="60000"/>
                  <a:lumOff val="40000"/>
                </a:schemeClr>
              </a:solidFill>
              <a:prstDash val="sysDash"/>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Activité!$Q$20:$AB$20</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2"/>
          <c:order val="2"/>
          <c:tx>
            <c:v>MCO hors séances année N-1 - réalisé</c:v>
          </c:tx>
          <c:spPr>
            <a:ln>
              <a:solidFill>
                <a:schemeClr val="accent1">
                  <a:lumMod val="60000"/>
                  <a:lumOff val="40000"/>
                </a:schemeClr>
              </a:solidFill>
            </a:ln>
          </c:spPr>
          <c:marker>
            <c:symbol val="none"/>
          </c:marker>
          <c:val>
            <c:numRef>
              <c:f>'Base données mensuelles n-1'!$B$59:$M$59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1085184"/>
        <c:axId val="101087104"/>
      </c:lineChart>
      <c:catAx>
        <c:axId val="101085184"/>
        <c:scaling>
          <c:orientation val="minMax"/>
        </c:scaling>
        <c:delete val="0"/>
        <c:axPos val="b"/>
        <c:majorTickMark val="out"/>
        <c:minorTickMark val="none"/>
        <c:tickLblPos val="nextTo"/>
        <c:txPr>
          <a:bodyPr/>
          <a:lstStyle/>
          <a:p>
            <a:pPr>
              <a:defRPr sz="900"/>
            </a:pPr>
            <a:endParaRPr lang="fr-FR"/>
          </a:p>
        </c:txPr>
        <c:crossAx val="101087104"/>
        <c:crosses val="autoZero"/>
        <c:auto val="1"/>
        <c:lblAlgn val="ctr"/>
        <c:lblOffset val="100"/>
        <c:noMultiLvlLbl val="0"/>
      </c:catAx>
      <c:valAx>
        <c:axId val="101087104"/>
        <c:scaling>
          <c:orientation val="minMax"/>
        </c:scaling>
        <c:delete val="0"/>
        <c:axPos val="l"/>
        <c:majorGridlines/>
        <c:numFmt formatCode="#,##0" sourceLinked="1"/>
        <c:majorTickMark val="out"/>
        <c:minorTickMark val="none"/>
        <c:tickLblPos val="nextTo"/>
        <c:crossAx val="101085184"/>
        <c:crosses val="autoZero"/>
        <c:crossBetween val="between"/>
      </c:valAx>
    </c:plotArea>
    <c:legend>
      <c:legendPos val="r"/>
      <c:layout>
        <c:manualLayout>
          <c:xMode val="edge"/>
          <c:yMode val="edge"/>
          <c:x val="0.72901488842278994"/>
          <c:y val="0.16642983306551218"/>
          <c:w val="0.25170809980630149"/>
          <c:h val="0.7430377561454999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Séjours hospitalisation complète MCO - cumulé annuel</a:t>
            </a:r>
          </a:p>
        </c:rich>
      </c:tx>
      <c:layout/>
      <c:overlay val="0"/>
    </c:title>
    <c:autoTitleDeleted val="0"/>
    <c:plotArea>
      <c:layout>
        <c:manualLayout>
          <c:layoutTarget val="inner"/>
          <c:xMode val="edge"/>
          <c:yMode val="edge"/>
          <c:x val="0.13839179193509901"/>
          <c:y val="0.20844945014784544"/>
          <c:w val="0.54351128357759104"/>
          <c:h val="0.59215522110369112"/>
        </c:manualLayout>
      </c:layout>
      <c:lineChart>
        <c:grouping val="standard"/>
        <c:varyColors val="0"/>
        <c:ser>
          <c:idx val="0"/>
          <c:order val="0"/>
          <c:tx>
            <c:v>Hospitalisation complète MCO année N - réalisé</c:v>
          </c:tx>
          <c:spPr>
            <a:ln>
              <a:solidFill>
                <a:schemeClr val="accent2"/>
              </a:solidFill>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Activité!$Q$21:$AB$21</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1"/>
          <c:order val="1"/>
          <c:tx>
            <c:v>Hospitalisation complète MCO année N - prévision</c:v>
          </c:tx>
          <c:spPr>
            <a:ln>
              <a:solidFill>
                <a:schemeClr val="accent2">
                  <a:lumMod val="60000"/>
                  <a:lumOff val="40000"/>
                </a:schemeClr>
              </a:solidFill>
              <a:prstDash val="dash"/>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Activité!$Q$22:$AB$22</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2"/>
          <c:order val="2"/>
          <c:tx>
            <c:v>Hospitalisation complète MCO année N-1 - réalisé</c:v>
          </c:tx>
          <c:spPr>
            <a:ln>
              <a:solidFill>
                <a:schemeClr val="accent1">
                  <a:lumMod val="60000"/>
                  <a:lumOff val="40000"/>
                </a:schemeClr>
              </a:solidFill>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'Base données mensuelles n-1'!$B$60:$M$60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6649472"/>
        <c:axId val="106651008"/>
      </c:lineChart>
      <c:catAx>
        <c:axId val="106649472"/>
        <c:scaling>
          <c:orientation val="minMax"/>
        </c:scaling>
        <c:delete val="0"/>
        <c:axPos val="b"/>
        <c:majorTickMark val="out"/>
        <c:minorTickMark val="none"/>
        <c:tickLblPos val="nextTo"/>
        <c:txPr>
          <a:bodyPr/>
          <a:lstStyle/>
          <a:p>
            <a:pPr>
              <a:defRPr sz="900"/>
            </a:pPr>
            <a:endParaRPr lang="fr-FR"/>
          </a:p>
        </c:txPr>
        <c:crossAx val="106651008"/>
        <c:crosses val="autoZero"/>
        <c:auto val="1"/>
        <c:lblAlgn val="ctr"/>
        <c:lblOffset val="100"/>
        <c:noMultiLvlLbl val="0"/>
      </c:catAx>
      <c:valAx>
        <c:axId val="106651008"/>
        <c:scaling>
          <c:orientation val="minMax"/>
        </c:scaling>
        <c:delete val="0"/>
        <c:axPos val="l"/>
        <c:majorGridlines/>
        <c:numFmt formatCode="#,##0" sourceLinked="1"/>
        <c:majorTickMark val="out"/>
        <c:minorTickMark val="none"/>
        <c:tickLblPos val="nextTo"/>
        <c:crossAx val="106649472"/>
        <c:crosses val="autoZero"/>
        <c:crossBetween val="between"/>
      </c:valAx>
    </c:plotArea>
    <c:legend>
      <c:legendPos val="r"/>
      <c:layout>
        <c:manualLayout>
          <c:xMode val="edge"/>
          <c:yMode val="edge"/>
          <c:x val="0.735954581764236"/>
          <c:y val="0.18627429482707067"/>
          <c:w val="0.2449067670888965"/>
          <c:h val="0.70044685869962453"/>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Séjours hospitalisation partielle MCO - cumulé annuel</a:t>
            </a:r>
          </a:p>
        </c:rich>
      </c:tx>
      <c:layout/>
      <c:overlay val="0"/>
    </c:title>
    <c:autoTitleDeleted val="0"/>
    <c:plotArea>
      <c:layout>
        <c:manualLayout>
          <c:layoutTarget val="inner"/>
          <c:xMode val="edge"/>
          <c:yMode val="edge"/>
          <c:x val="0.12874754292077126"/>
          <c:y val="0.18176259606714318"/>
          <c:w val="0.56186113099498924"/>
          <c:h val="0.59569456594919512"/>
        </c:manualLayout>
      </c:layout>
      <c:lineChart>
        <c:grouping val="standard"/>
        <c:varyColors val="0"/>
        <c:ser>
          <c:idx val="0"/>
          <c:order val="0"/>
          <c:tx>
            <c:v>Hospitalisation partielle MCO année N - réalisé</c:v>
          </c:tx>
          <c:spPr>
            <a:ln>
              <a:solidFill>
                <a:schemeClr val="accent2"/>
              </a:solidFill>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Activité!$Q$23:$AB$23</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1"/>
          <c:order val="1"/>
          <c:tx>
            <c:v>Hospitalisation partielle MCO année N - prévision</c:v>
          </c:tx>
          <c:spPr>
            <a:ln>
              <a:solidFill>
                <a:schemeClr val="accent2">
                  <a:lumMod val="60000"/>
                  <a:lumOff val="40000"/>
                </a:schemeClr>
              </a:solidFill>
              <a:prstDash val="dash"/>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Activité!$Q$24:$AB$24</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2"/>
          <c:order val="2"/>
          <c:tx>
            <c:v>Hospitalisation partielle MCO année N-1 - réalisé</c:v>
          </c:tx>
          <c:spPr>
            <a:ln>
              <a:solidFill>
                <a:schemeClr val="accent1">
                  <a:lumMod val="60000"/>
                  <a:lumOff val="40000"/>
                </a:schemeClr>
              </a:solidFill>
            </a:ln>
          </c:spPr>
          <c:marker>
            <c:symbol val="none"/>
          </c:marker>
          <c:val>
            <c:numRef>
              <c:f>'Base données mensuelles n-1'!$B$61:$M$61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6689664"/>
        <c:axId val="106691200"/>
      </c:lineChart>
      <c:catAx>
        <c:axId val="106689664"/>
        <c:scaling>
          <c:orientation val="minMax"/>
        </c:scaling>
        <c:delete val="0"/>
        <c:axPos val="b"/>
        <c:majorTickMark val="out"/>
        <c:minorTickMark val="none"/>
        <c:tickLblPos val="nextTo"/>
        <c:txPr>
          <a:bodyPr/>
          <a:lstStyle/>
          <a:p>
            <a:pPr>
              <a:defRPr sz="900"/>
            </a:pPr>
            <a:endParaRPr lang="fr-FR"/>
          </a:p>
        </c:txPr>
        <c:crossAx val="106691200"/>
        <c:crosses val="autoZero"/>
        <c:auto val="1"/>
        <c:lblAlgn val="ctr"/>
        <c:lblOffset val="100"/>
        <c:noMultiLvlLbl val="0"/>
      </c:catAx>
      <c:valAx>
        <c:axId val="106691200"/>
        <c:scaling>
          <c:orientation val="minMax"/>
        </c:scaling>
        <c:delete val="0"/>
        <c:axPos val="l"/>
        <c:majorGridlines/>
        <c:numFmt formatCode="#,##0" sourceLinked="1"/>
        <c:majorTickMark val="out"/>
        <c:minorTickMark val="none"/>
        <c:tickLblPos val="nextTo"/>
        <c:crossAx val="106689664"/>
        <c:crosses val="autoZero"/>
        <c:crossBetween val="between"/>
      </c:valAx>
    </c:plotArea>
    <c:legend>
      <c:legendPos val="r"/>
      <c:layout>
        <c:manualLayout>
          <c:xMode val="edge"/>
          <c:yMode val="edge"/>
          <c:x val="0.74600493120178157"/>
          <c:y val="0.16498620557125601"/>
          <c:w val="0.23499267137062413"/>
          <c:h val="0.70745732327609956"/>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Séjours MCO hors séances - suivi mensuel</a:t>
            </a:r>
          </a:p>
        </c:rich>
      </c:tx>
      <c:layout/>
      <c:overlay val="0"/>
    </c:title>
    <c:autoTitleDeleted val="0"/>
    <c:plotArea>
      <c:layout>
        <c:manualLayout>
          <c:layoutTarget val="inner"/>
          <c:xMode val="edge"/>
          <c:yMode val="edge"/>
          <c:x val="0.116745406824147"/>
          <c:y val="0.15841601571823752"/>
          <c:w val="0.61640447810265753"/>
          <c:h val="0.61566195739292329"/>
        </c:manualLayout>
      </c:layout>
      <c:lineChart>
        <c:grouping val="standard"/>
        <c:varyColors val="0"/>
        <c:ser>
          <c:idx val="0"/>
          <c:order val="0"/>
          <c:tx>
            <c:v>MCO hors séances année N - réalisé</c:v>
          </c:tx>
          <c:spPr>
            <a:ln>
              <a:solidFill>
                <a:schemeClr val="accent2"/>
              </a:solidFill>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Activité!$D$19:$O$19</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1"/>
          <c:order val="1"/>
          <c:tx>
            <c:v>MCO hors séances année N - prévision</c:v>
          </c:tx>
          <c:spPr>
            <a:ln>
              <a:solidFill>
                <a:schemeClr val="accent2">
                  <a:lumMod val="60000"/>
                  <a:lumOff val="40000"/>
                </a:schemeClr>
              </a:solidFill>
              <a:prstDash val="sysDash"/>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Activité!$D$20:$O$20</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2"/>
          <c:order val="2"/>
          <c:tx>
            <c:v>MCO hors séances année N-1 - réalisé</c:v>
          </c:tx>
          <c:spPr>
            <a:ln>
              <a:solidFill>
                <a:schemeClr val="accent1">
                  <a:lumMod val="60000"/>
                  <a:lumOff val="40000"/>
                </a:schemeClr>
              </a:solidFill>
            </a:ln>
          </c:spPr>
          <c:marker>
            <c:symbol val="none"/>
          </c:marker>
          <c:val>
            <c:numRef>
              <c:f>'Base données mensuelles n-1'!$B$45:$M$45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6738432"/>
        <c:axId val="106739968"/>
      </c:lineChart>
      <c:catAx>
        <c:axId val="106738432"/>
        <c:scaling>
          <c:orientation val="minMax"/>
        </c:scaling>
        <c:delete val="0"/>
        <c:axPos val="b"/>
        <c:majorTickMark val="out"/>
        <c:minorTickMark val="none"/>
        <c:tickLblPos val="nextTo"/>
        <c:txPr>
          <a:bodyPr/>
          <a:lstStyle/>
          <a:p>
            <a:pPr>
              <a:defRPr sz="900"/>
            </a:pPr>
            <a:endParaRPr lang="fr-FR"/>
          </a:p>
        </c:txPr>
        <c:crossAx val="106739968"/>
        <c:crosses val="autoZero"/>
        <c:auto val="1"/>
        <c:lblAlgn val="ctr"/>
        <c:lblOffset val="100"/>
        <c:noMultiLvlLbl val="0"/>
      </c:catAx>
      <c:valAx>
        <c:axId val="106739968"/>
        <c:scaling>
          <c:orientation val="minMax"/>
        </c:scaling>
        <c:delete val="0"/>
        <c:axPos val="l"/>
        <c:majorGridlines/>
        <c:numFmt formatCode="#,##0" sourceLinked="1"/>
        <c:majorTickMark val="out"/>
        <c:minorTickMark val="none"/>
        <c:tickLblPos val="nextTo"/>
        <c:crossAx val="106738432"/>
        <c:crosses val="autoZero"/>
        <c:crossBetween val="between"/>
      </c:valAx>
    </c:plotArea>
    <c:legend>
      <c:legendPos val="r"/>
      <c:layout>
        <c:manualLayout>
          <c:xMode val="edge"/>
          <c:yMode val="edge"/>
          <c:x val="0.74730416659700982"/>
          <c:y val="0.18466344802683932"/>
          <c:w val="0.23341881627853844"/>
          <c:h val="0.76127137110682708"/>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Séjours hospitalisation complète MCO - suivi mensuel</a:t>
            </a:r>
          </a:p>
        </c:rich>
      </c:tx>
      <c:layout/>
      <c:overlay val="0"/>
    </c:title>
    <c:autoTitleDeleted val="0"/>
    <c:plotArea>
      <c:layout>
        <c:manualLayout>
          <c:layoutTarget val="inner"/>
          <c:xMode val="edge"/>
          <c:yMode val="edge"/>
          <c:x val="0.11564830515588537"/>
          <c:y val="0.20844945014784544"/>
          <c:w val="0.57478345057614066"/>
          <c:h val="0.59215522110369112"/>
        </c:manualLayout>
      </c:layout>
      <c:lineChart>
        <c:grouping val="standard"/>
        <c:varyColors val="0"/>
        <c:ser>
          <c:idx val="0"/>
          <c:order val="0"/>
          <c:tx>
            <c:v>Hospitalisation complète MCO année N - réalisé</c:v>
          </c:tx>
          <c:spPr>
            <a:ln>
              <a:solidFill>
                <a:schemeClr val="accent2"/>
              </a:solidFill>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Activité!$D$21:$O$21</c:f>
              <c:numCache>
                <c:formatCode>#,##0</c:formatCode>
                <c:ptCount val="12"/>
              </c:numCache>
            </c:numRef>
          </c:val>
          <c:smooth val="0"/>
        </c:ser>
        <c:ser>
          <c:idx val="1"/>
          <c:order val="1"/>
          <c:tx>
            <c:v>Hospitalisation complète MCO année N - prévision</c:v>
          </c:tx>
          <c:spPr>
            <a:ln>
              <a:prstDash val="dash"/>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Activité!$D$22:$O$22</c:f>
              <c:numCache>
                <c:formatCode>#,##0</c:formatCode>
                <c:ptCount val="12"/>
              </c:numCache>
            </c:numRef>
          </c:val>
          <c:smooth val="0"/>
        </c:ser>
        <c:ser>
          <c:idx val="2"/>
          <c:order val="2"/>
          <c:tx>
            <c:v>Hospitalisation complète MCO année N-1 - réalisé</c:v>
          </c:tx>
          <c:spPr>
            <a:ln>
              <a:solidFill>
                <a:schemeClr val="accent1">
                  <a:lumMod val="60000"/>
                  <a:lumOff val="40000"/>
                </a:schemeClr>
              </a:solidFill>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'Base données mensuelles n-1'!$B$46:$M$46</c:f>
              <c:numCache>
                <c:formatCode>#,##0</c:formatCode>
                <c:ptCount val="12"/>
              </c:numCache>
            </c:numRef>
          </c:val>
          <c:smooth val="0"/>
        </c:ser>
        <c:dLbls>
          <c:showLegendKey val="0"/>
          <c:showVal val="0"/>
          <c:showCatName val="0"/>
          <c:showSerName val="0"/>
          <c:showPercent val="0"/>
          <c:showBubbleSize val="0"/>
        </c:dLbls>
        <c:marker val="1"/>
        <c:smooth val="0"/>
        <c:axId val="106856448"/>
        <c:axId val="106857984"/>
      </c:lineChart>
      <c:catAx>
        <c:axId val="106856448"/>
        <c:scaling>
          <c:orientation val="minMax"/>
        </c:scaling>
        <c:delete val="0"/>
        <c:axPos val="b"/>
        <c:majorTickMark val="out"/>
        <c:minorTickMark val="none"/>
        <c:tickLblPos val="nextTo"/>
        <c:txPr>
          <a:bodyPr/>
          <a:lstStyle/>
          <a:p>
            <a:pPr>
              <a:defRPr sz="900"/>
            </a:pPr>
            <a:endParaRPr lang="fr-FR"/>
          </a:p>
        </c:txPr>
        <c:crossAx val="106857984"/>
        <c:crosses val="autoZero"/>
        <c:auto val="1"/>
        <c:lblAlgn val="ctr"/>
        <c:lblOffset val="100"/>
        <c:noMultiLvlLbl val="0"/>
      </c:catAx>
      <c:valAx>
        <c:axId val="106857984"/>
        <c:scaling>
          <c:orientation val="minMax"/>
        </c:scaling>
        <c:delete val="0"/>
        <c:axPos val="l"/>
        <c:majorGridlines/>
        <c:numFmt formatCode="#,##0" sourceLinked="1"/>
        <c:majorTickMark val="out"/>
        <c:minorTickMark val="none"/>
        <c:tickLblPos val="nextTo"/>
        <c:crossAx val="106856448"/>
        <c:crosses val="autoZero"/>
        <c:crossBetween val="between"/>
      </c:valAx>
    </c:plotArea>
    <c:legend>
      <c:legendPos val="r"/>
      <c:layout>
        <c:manualLayout>
          <c:xMode val="edge"/>
          <c:yMode val="edge"/>
          <c:x val="0.69537480063795853"/>
          <c:y val="0.2115907505232732"/>
          <c:w val="0.28548644338118023"/>
          <c:h val="0.6835692215688229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Séjours hospitalisation partielle MCO - suivi mensuel</a:t>
            </a:r>
          </a:p>
        </c:rich>
      </c:tx>
      <c:layout/>
      <c:overlay val="0"/>
    </c:title>
    <c:autoTitleDeleted val="0"/>
    <c:plotArea>
      <c:layout>
        <c:manualLayout>
          <c:layoutTarget val="inner"/>
          <c:xMode val="edge"/>
          <c:yMode val="edge"/>
          <c:x val="0.13740559288144266"/>
          <c:y val="0.2244292705401259"/>
          <c:w val="0.55320314631376455"/>
          <c:h val="0.52316130876176725"/>
        </c:manualLayout>
      </c:layout>
      <c:lineChart>
        <c:grouping val="standard"/>
        <c:varyColors val="0"/>
        <c:ser>
          <c:idx val="0"/>
          <c:order val="0"/>
          <c:tx>
            <c:v>Hospitalisation partielle MCO année N - réalisé</c:v>
          </c:tx>
          <c:spPr>
            <a:ln>
              <a:solidFill>
                <a:schemeClr val="accent2"/>
              </a:solidFill>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Activité!$D$23:$O$23</c:f>
              <c:numCache>
                <c:formatCode>#,##0</c:formatCode>
                <c:ptCount val="12"/>
              </c:numCache>
            </c:numRef>
          </c:val>
          <c:smooth val="0"/>
        </c:ser>
        <c:ser>
          <c:idx val="1"/>
          <c:order val="1"/>
          <c:tx>
            <c:v>Hospitalisation partielle MCO année N - prévision</c:v>
          </c:tx>
          <c:spPr>
            <a:ln>
              <a:solidFill>
                <a:schemeClr val="accent2">
                  <a:lumMod val="60000"/>
                  <a:lumOff val="40000"/>
                </a:schemeClr>
              </a:solidFill>
              <a:prstDash val="dash"/>
            </a:ln>
          </c:spPr>
          <c:marker>
            <c:symbol val="none"/>
          </c:marker>
          <c:cat>
            <c:strRef>
              <c:f>Activité!$D$18:$O$18</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Activité!$D$24:$O$24</c:f>
              <c:numCache>
                <c:formatCode>#,##0</c:formatCode>
                <c:ptCount val="12"/>
              </c:numCache>
            </c:numRef>
          </c:val>
          <c:smooth val="0"/>
        </c:ser>
        <c:ser>
          <c:idx val="2"/>
          <c:order val="2"/>
          <c:tx>
            <c:v>Hospitalisation partielle MCO année N-1 - réalisé</c:v>
          </c:tx>
          <c:spPr>
            <a:ln>
              <a:solidFill>
                <a:schemeClr val="accent1">
                  <a:lumMod val="60000"/>
                  <a:lumOff val="40000"/>
                </a:schemeClr>
              </a:solidFill>
            </a:ln>
          </c:spPr>
          <c:marker>
            <c:symbol val="none"/>
          </c:marker>
          <c:val>
            <c:numRef>
              <c:f>'Base données mensuelles n-1'!$B$47:$M$47</c:f>
              <c:numCache>
                <c:formatCode>#,##0</c:formatCode>
                <c:ptCount val="12"/>
              </c:numCache>
            </c:numRef>
          </c:val>
          <c:smooth val="0"/>
        </c:ser>
        <c:dLbls>
          <c:showLegendKey val="0"/>
          <c:showVal val="0"/>
          <c:showCatName val="0"/>
          <c:showSerName val="0"/>
          <c:showPercent val="0"/>
          <c:showBubbleSize val="0"/>
        </c:dLbls>
        <c:marker val="1"/>
        <c:smooth val="0"/>
        <c:axId val="106871808"/>
        <c:axId val="106885888"/>
      </c:lineChart>
      <c:catAx>
        <c:axId val="106871808"/>
        <c:scaling>
          <c:orientation val="minMax"/>
        </c:scaling>
        <c:delete val="0"/>
        <c:axPos val="b"/>
        <c:majorTickMark val="out"/>
        <c:minorTickMark val="none"/>
        <c:tickLblPos val="nextTo"/>
        <c:crossAx val="106885888"/>
        <c:crosses val="autoZero"/>
        <c:auto val="1"/>
        <c:lblAlgn val="ctr"/>
        <c:lblOffset val="100"/>
        <c:noMultiLvlLbl val="0"/>
      </c:catAx>
      <c:valAx>
        <c:axId val="106885888"/>
        <c:scaling>
          <c:orientation val="minMax"/>
        </c:scaling>
        <c:delete val="0"/>
        <c:axPos val="l"/>
        <c:majorGridlines/>
        <c:numFmt formatCode="#,##0" sourceLinked="1"/>
        <c:majorTickMark val="out"/>
        <c:minorTickMark val="none"/>
        <c:tickLblPos val="nextTo"/>
        <c:crossAx val="106871808"/>
        <c:crosses val="autoZero"/>
        <c:crossBetween val="between"/>
      </c:valAx>
    </c:plotArea>
    <c:legend>
      <c:legendPos val="r"/>
      <c:layout>
        <c:manualLayout>
          <c:xMode val="edge"/>
          <c:yMode val="edge"/>
          <c:x val="0.69694286271460582"/>
          <c:y val="0.20765284167307854"/>
          <c:w val="0.28405476672719826"/>
          <c:h val="0.61785727444198701"/>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Recettes T2A cumulées lors du mois de transmission</a:t>
            </a:r>
          </a:p>
        </c:rich>
      </c:tx>
      <c:layout/>
      <c:overlay val="0"/>
    </c:title>
    <c:autoTitleDeleted val="0"/>
    <c:plotArea>
      <c:layout>
        <c:manualLayout>
          <c:layoutTarget val="inner"/>
          <c:xMode val="edge"/>
          <c:yMode val="edge"/>
          <c:x val="7.0617971090412041E-2"/>
          <c:y val="0.10228513393909883"/>
          <c:w val="0.64422490328002135"/>
          <c:h val="0.78770166662072894"/>
        </c:manualLayout>
      </c:layout>
      <c:lineChart>
        <c:grouping val="standard"/>
        <c:varyColors val="0"/>
        <c:ser>
          <c:idx val="0"/>
          <c:order val="0"/>
          <c:tx>
            <c:v>Recettes T2A de l'année N - réalisé</c:v>
          </c:tx>
          <c:spPr>
            <a:ln>
              <a:solidFill>
                <a:schemeClr val="accent2"/>
              </a:solidFill>
            </a:ln>
          </c:spPr>
          <c:marker>
            <c:symbol val="none"/>
          </c:marker>
          <c:cat>
            <c:strRef>
              <c:f>'Recettes T2A'!$D$10:$O$10</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'Recettes T2A'!$D$14:$O$14</c:f>
              <c:numCache>
                <c:formatCode>#,##0.00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1"/>
          <c:order val="1"/>
          <c:tx>
            <c:v>Recettes T2A de l'année N - prévision</c:v>
          </c:tx>
          <c:spPr>
            <a:ln>
              <a:solidFill>
                <a:schemeClr val="accent2">
                  <a:lumMod val="60000"/>
                  <a:lumOff val="40000"/>
                </a:schemeClr>
              </a:solidFill>
              <a:prstDash val="dash"/>
            </a:ln>
          </c:spPr>
          <c:marker>
            <c:symbol val="none"/>
          </c:marker>
          <c:cat>
            <c:strRef>
              <c:f>'Recettes T2A'!$D$10:$O$10</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'Recettes T2A'!$D$15:$O$15</c:f>
              <c:numCache>
                <c:formatCode>#,##0.00</c:formatCode>
                <c:ptCount val="12"/>
              </c:numCache>
            </c:numRef>
          </c:val>
          <c:smooth val="0"/>
        </c:ser>
        <c:ser>
          <c:idx val="2"/>
          <c:order val="2"/>
          <c:tx>
            <c:v>Recettes T2A de l'année N-1 - réalisé</c:v>
          </c:tx>
          <c:spPr>
            <a:ln>
              <a:solidFill>
                <a:schemeClr val="accent1">
                  <a:lumMod val="60000"/>
                  <a:lumOff val="40000"/>
                </a:schemeClr>
              </a:solidFill>
            </a:ln>
          </c:spPr>
          <c:marker>
            <c:symbol val="none"/>
          </c:marker>
          <c:val>
            <c:numRef>
              <c:f>'Base données mensuelles n-1'!$B$80:$M$80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6368000"/>
        <c:axId val="106373888"/>
      </c:lineChart>
      <c:catAx>
        <c:axId val="106368000"/>
        <c:scaling>
          <c:orientation val="minMax"/>
        </c:scaling>
        <c:delete val="0"/>
        <c:axPos val="b"/>
        <c:majorTickMark val="out"/>
        <c:minorTickMark val="none"/>
        <c:tickLblPos val="nextTo"/>
        <c:crossAx val="106373888"/>
        <c:crosses val="autoZero"/>
        <c:auto val="1"/>
        <c:lblAlgn val="ctr"/>
        <c:lblOffset val="100"/>
        <c:noMultiLvlLbl val="0"/>
      </c:catAx>
      <c:valAx>
        <c:axId val="106373888"/>
        <c:scaling>
          <c:orientation val="minMax"/>
        </c:scaling>
        <c:delete val="0"/>
        <c:axPos val="l"/>
        <c:majorGridlines/>
        <c:numFmt formatCode="#,##0.00" sourceLinked="1"/>
        <c:majorTickMark val="out"/>
        <c:minorTickMark val="none"/>
        <c:tickLblPos val="nextTo"/>
        <c:crossAx val="1063680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Personnel</a:t>
            </a:r>
            <a:r>
              <a:rPr lang="fr-FR" sz="1200" baseline="0"/>
              <a:t> médical du budget H - suivi des ETP mensuels</a:t>
            </a:r>
            <a:endParaRPr lang="fr-FR" sz="1200"/>
          </a:p>
        </c:rich>
      </c:tx>
      <c:layout>
        <c:manualLayout>
          <c:xMode val="edge"/>
          <c:yMode val="edge"/>
          <c:x val="0.18163208852005533"/>
          <c:y val="3.4782608695652174E-2"/>
        </c:manualLayout>
      </c:layout>
      <c:overlay val="1"/>
    </c:title>
    <c:autoTitleDeleted val="0"/>
    <c:plotArea>
      <c:layout>
        <c:manualLayout>
          <c:layoutTarget val="inner"/>
          <c:xMode val="edge"/>
          <c:yMode val="edge"/>
          <c:x val="7.0050206379804178E-2"/>
          <c:y val="0.19387424398037198"/>
          <c:w val="0.78280349811045402"/>
          <c:h val="0.59901723154170949"/>
        </c:manualLayout>
      </c:layout>
      <c:lineChart>
        <c:grouping val="standard"/>
        <c:varyColors val="0"/>
        <c:ser>
          <c:idx val="2"/>
          <c:order val="0"/>
          <c:tx>
            <c:v>ETPMR PM mensuel année N - réalisé</c:v>
          </c:tx>
          <c:spPr>
            <a:ln>
              <a:solidFill>
                <a:schemeClr val="accent2"/>
              </a:solidFill>
            </a:ln>
          </c:spPr>
          <c:marker>
            <c:symbol val="none"/>
          </c:marker>
          <c:cat>
            <c:strRef>
              <c:f>ETPMR!$D$23:$O$23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ETPMR!$D$28:$O$28</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3"/>
          <c:order val="1"/>
          <c:tx>
            <c:v>ETPMR PM mensuel année N - prévision</c:v>
          </c:tx>
          <c:spPr>
            <a:ln>
              <a:solidFill>
                <a:schemeClr val="accent2">
                  <a:lumMod val="60000"/>
                  <a:lumOff val="40000"/>
                </a:schemeClr>
              </a:solidFill>
              <a:prstDash val="dash"/>
            </a:ln>
          </c:spPr>
          <c:marker>
            <c:symbol val="none"/>
          </c:marker>
          <c:cat>
            <c:strRef>
              <c:f>ETPMR!$D$23:$O$23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ETPMR!$D$29:$O$29</c:f>
              <c:numCache>
                <c:formatCode>#,##0.0</c:formatCode>
                <c:ptCount val="12"/>
              </c:numCache>
            </c:numRef>
          </c:val>
          <c:smooth val="0"/>
        </c:ser>
        <c:ser>
          <c:idx val="0"/>
          <c:order val="2"/>
          <c:tx>
            <c:v>ETPMR PM mensuel année N-1 - réalisé</c:v>
          </c:tx>
          <c:spPr>
            <a:ln>
              <a:solidFill>
                <a:schemeClr val="accent1">
                  <a:lumMod val="60000"/>
                  <a:lumOff val="40000"/>
                </a:schemeClr>
              </a:solidFill>
            </a:ln>
          </c:spPr>
          <c:marker>
            <c:symbol val="none"/>
          </c:marker>
          <c:val>
            <c:numRef>
              <c:f>'Base données mensuelles n-1'!$B$10:$M$10</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95216768"/>
        <c:axId val="95218304"/>
      </c:lineChart>
      <c:catAx>
        <c:axId val="95216768"/>
        <c:scaling>
          <c:orientation val="minMax"/>
        </c:scaling>
        <c:delete val="0"/>
        <c:axPos val="b"/>
        <c:majorTickMark val="out"/>
        <c:minorTickMark val="none"/>
        <c:tickLblPos val="nextTo"/>
        <c:txPr>
          <a:bodyPr/>
          <a:lstStyle/>
          <a:p>
            <a:pPr>
              <a:defRPr sz="900"/>
            </a:pPr>
            <a:endParaRPr lang="fr-FR"/>
          </a:p>
        </c:txPr>
        <c:crossAx val="95218304"/>
        <c:crosses val="autoZero"/>
        <c:auto val="1"/>
        <c:lblAlgn val="ctr"/>
        <c:lblOffset val="100"/>
        <c:noMultiLvlLbl val="0"/>
      </c:catAx>
      <c:valAx>
        <c:axId val="95218304"/>
        <c:scaling>
          <c:orientation val="minMax"/>
        </c:scaling>
        <c:delete val="0"/>
        <c:axPos val="l"/>
        <c:majorGridlines/>
        <c:numFmt formatCode="#,##0.0" sourceLinked="1"/>
        <c:majorTickMark val="out"/>
        <c:minorTickMark val="none"/>
        <c:tickLblPos val="nextTo"/>
        <c:crossAx val="95216768"/>
        <c:crosses val="autoZero"/>
        <c:crossBetween val="between"/>
      </c:valAx>
    </c:plotArea>
    <c:legend>
      <c:legendPos val="r"/>
      <c:layout>
        <c:manualLayout>
          <c:xMode val="edge"/>
          <c:yMode val="edge"/>
          <c:x val="0.84654461760744637"/>
          <c:y val="5.0819125870135803E-2"/>
          <c:w val="0.15345538239255363"/>
          <c:h val="0.9115868994636540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Personnel non médical du budget H - suivi des </a:t>
            </a:r>
            <a:r>
              <a:rPr lang="fr-FR" sz="1200" baseline="0"/>
              <a:t>ETP</a:t>
            </a:r>
            <a:r>
              <a:rPr lang="fr-FR" sz="1200"/>
              <a:t> mensuels</a:t>
            </a:r>
          </a:p>
        </c:rich>
      </c:tx>
      <c:layout>
        <c:manualLayout>
          <c:xMode val="edge"/>
          <c:yMode val="edge"/>
          <c:x val="0.13265822784810125"/>
          <c:y val="3.4934513832600413E-2"/>
        </c:manualLayout>
      </c:layout>
      <c:overlay val="1"/>
    </c:title>
    <c:autoTitleDeleted val="0"/>
    <c:plotArea>
      <c:layout>
        <c:manualLayout>
          <c:layoutTarget val="inner"/>
          <c:xMode val="edge"/>
          <c:yMode val="edge"/>
          <c:x val="7.9827679767877122E-2"/>
          <c:y val="0.18788441718961463"/>
          <c:w val="0.74509334012573325"/>
          <c:h val="0.62430360201428192"/>
        </c:manualLayout>
      </c:layout>
      <c:lineChart>
        <c:grouping val="standard"/>
        <c:varyColors val="0"/>
        <c:ser>
          <c:idx val="0"/>
          <c:order val="0"/>
          <c:tx>
            <c:v>ETPMR PNM mensuel année N - réalisé</c:v>
          </c:tx>
          <c:spPr>
            <a:ln>
              <a:solidFill>
                <a:schemeClr val="accent2"/>
              </a:solidFill>
            </a:ln>
          </c:spPr>
          <c:marker>
            <c:symbol val="none"/>
          </c:marker>
          <c:cat>
            <c:strRef>
              <c:f>ETPMR!$D$23:$O$23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ETPMR!$D$24:$O$24</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1"/>
          <c:order val="1"/>
          <c:tx>
            <c:v>ETPMR PNM mensuel année N - prévision</c:v>
          </c:tx>
          <c:spPr>
            <a:ln>
              <a:solidFill>
                <a:schemeClr val="accent2">
                  <a:lumMod val="60000"/>
                  <a:lumOff val="40000"/>
                </a:schemeClr>
              </a:solidFill>
              <a:prstDash val="dash"/>
            </a:ln>
          </c:spPr>
          <c:marker>
            <c:symbol val="none"/>
          </c:marker>
          <c:cat>
            <c:strRef>
              <c:f>ETPMR!$D$23:$O$23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ETPMR!$D$25:$O$25</c:f>
              <c:numCache>
                <c:formatCode>#,##0.0</c:formatCode>
                <c:ptCount val="12"/>
              </c:numCache>
            </c:numRef>
          </c:val>
          <c:smooth val="0"/>
        </c:ser>
        <c:ser>
          <c:idx val="2"/>
          <c:order val="2"/>
          <c:tx>
            <c:v>ETPMR PNM mensuel année N-1 - réalisé</c:v>
          </c:tx>
          <c:spPr>
            <a:ln>
              <a:solidFill>
                <a:schemeClr val="accent1">
                  <a:lumMod val="60000"/>
                  <a:lumOff val="40000"/>
                </a:schemeClr>
              </a:solidFill>
            </a:ln>
          </c:spPr>
          <c:marker>
            <c:symbol val="none"/>
          </c:marker>
          <c:val>
            <c:numRef>
              <c:f>'Base données mensuelles n-1'!$B$7:$M$7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96448896"/>
        <c:axId val="96450432"/>
      </c:lineChart>
      <c:catAx>
        <c:axId val="96448896"/>
        <c:scaling>
          <c:orientation val="minMax"/>
        </c:scaling>
        <c:delete val="0"/>
        <c:axPos val="b"/>
        <c:majorTickMark val="out"/>
        <c:minorTickMark val="none"/>
        <c:tickLblPos val="nextTo"/>
        <c:txPr>
          <a:bodyPr/>
          <a:lstStyle/>
          <a:p>
            <a:pPr>
              <a:defRPr sz="900"/>
            </a:pPr>
            <a:endParaRPr lang="fr-FR"/>
          </a:p>
        </c:txPr>
        <c:crossAx val="96450432"/>
        <c:crosses val="autoZero"/>
        <c:auto val="1"/>
        <c:lblAlgn val="ctr"/>
        <c:lblOffset val="100"/>
        <c:noMultiLvlLbl val="0"/>
      </c:catAx>
      <c:valAx>
        <c:axId val="96450432"/>
        <c:scaling>
          <c:orientation val="minMax"/>
        </c:scaling>
        <c:delete val="0"/>
        <c:axPos val="l"/>
        <c:majorGridlines/>
        <c:numFmt formatCode="#,##0.0" sourceLinked="1"/>
        <c:majorTickMark val="out"/>
        <c:minorTickMark val="none"/>
        <c:tickLblPos val="nextTo"/>
        <c:crossAx val="96448896"/>
        <c:crosses val="autoZero"/>
        <c:crossBetween val="between"/>
      </c:valAx>
    </c:plotArea>
    <c:legend>
      <c:legendPos val="r"/>
      <c:layout>
        <c:manualLayout>
          <c:xMode val="edge"/>
          <c:yMode val="edge"/>
          <c:x val="0.84377273515915996"/>
          <c:y val="6.7131573831940225E-2"/>
          <c:w val="0.15622726484084004"/>
          <c:h val="0.8995490605274836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Personnel non médical du budget H - suivi des ETP moyens annuels</a:t>
            </a:r>
            <a:r>
              <a:rPr lang="fr-FR" sz="1200" baseline="0"/>
              <a:t> </a:t>
            </a:r>
            <a:endParaRPr lang="fr-FR" sz="1200"/>
          </a:p>
        </c:rich>
      </c:tx>
      <c:layout>
        <c:manualLayout>
          <c:xMode val="edge"/>
          <c:yMode val="edge"/>
          <c:x val="0.10265353961556493"/>
          <c:y val="3.4934513832600413E-2"/>
        </c:manualLayout>
      </c:layout>
      <c:overlay val="1"/>
    </c:title>
    <c:autoTitleDeleted val="0"/>
    <c:plotArea>
      <c:layout>
        <c:manualLayout>
          <c:layoutTarget val="inner"/>
          <c:xMode val="edge"/>
          <c:yMode val="edge"/>
          <c:x val="7.7952386753343594E-2"/>
          <c:y val="0.18788441718961463"/>
          <c:w val="0.74134275409666617"/>
          <c:h val="0.62430360201428192"/>
        </c:manualLayout>
      </c:layout>
      <c:lineChart>
        <c:grouping val="standard"/>
        <c:varyColors val="0"/>
        <c:ser>
          <c:idx val="4"/>
          <c:order val="0"/>
          <c:tx>
            <c:v>ETPMR PNM annuel année N - réalisé</c:v>
          </c:tx>
          <c:spPr>
            <a:ln>
              <a:solidFill>
                <a:schemeClr val="accent2"/>
              </a:solidFill>
            </a:ln>
          </c:spPr>
          <c:marker>
            <c:symbol val="none"/>
          </c:marker>
          <c:cat>
            <c:strRef>
              <c:f>ETPMR!$D$14:$O$14</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ETPMR!$Q$24:$AB$24</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2"/>
          <c:order val="1"/>
          <c:tx>
            <c:v>ETPMR PNM annuel année N - prévision</c:v>
          </c:tx>
          <c:spPr>
            <a:ln>
              <a:solidFill>
                <a:schemeClr val="accent2">
                  <a:lumMod val="60000"/>
                  <a:lumOff val="40000"/>
                </a:schemeClr>
              </a:solidFill>
              <a:prstDash val="dash"/>
            </a:ln>
          </c:spPr>
          <c:marker>
            <c:symbol val="none"/>
          </c:marker>
          <c:cat>
            <c:strRef>
              <c:f>ETPMR!$D$14:$O$14</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ETPMR!$Q$25:$AB$25</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0"/>
          <c:order val="2"/>
          <c:tx>
            <c:v>ETPMR PNM annuel année N-1 - réalisé</c:v>
          </c:tx>
          <c:spPr>
            <a:ln>
              <a:solidFill>
                <a:schemeClr val="accent1">
                  <a:lumMod val="60000"/>
                  <a:lumOff val="40000"/>
                </a:schemeClr>
              </a:solidFill>
            </a:ln>
          </c:spPr>
          <c:marker>
            <c:symbol val="none"/>
          </c:marker>
          <c:cat>
            <c:strRef>
              <c:f>ETPMR!$D$14:$O$14</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'Base données mensuelles n-1'!$B$16:$M$16</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0998528"/>
        <c:axId val="101008512"/>
      </c:lineChart>
      <c:catAx>
        <c:axId val="100998528"/>
        <c:scaling>
          <c:orientation val="minMax"/>
        </c:scaling>
        <c:delete val="0"/>
        <c:axPos val="b"/>
        <c:majorTickMark val="out"/>
        <c:minorTickMark val="none"/>
        <c:tickLblPos val="nextTo"/>
        <c:txPr>
          <a:bodyPr/>
          <a:lstStyle/>
          <a:p>
            <a:pPr>
              <a:defRPr sz="900"/>
            </a:pPr>
            <a:endParaRPr lang="fr-FR"/>
          </a:p>
        </c:txPr>
        <c:crossAx val="101008512"/>
        <c:crosses val="autoZero"/>
        <c:auto val="1"/>
        <c:lblAlgn val="ctr"/>
        <c:lblOffset val="100"/>
        <c:noMultiLvlLbl val="0"/>
      </c:catAx>
      <c:valAx>
        <c:axId val="101008512"/>
        <c:scaling>
          <c:orientation val="minMax"/>
        </c:scaling>
        <c:delete val="0"/>
        <c:axPos val="l"/>
        <c:majorGridlines/>
        <c:numFmt formatCode="#,##0.0" sourceLinked="1"/>
        <c:majorTickMark val="out"/>
        <c:minorTickMark val="none"/>
        <c:tickLblPos val="nextTo"/>
        <c:crossAx val="100998528"/>
        <c:crosses val="autoZero"/>
        <c:crossBetween val="between"/>
      </c:valAx>
    </c:plotArea>
    <c:legend>
      <c:legendPos val="r"/>
      <c:layout>
        <c:manualLayout>
          <c:xMode val="edge"/>
          <c:yMode val="edge"/>
          <c:x val="0.83439627008649231"/>
          <c:y val="4.9664316915640036E-2"/>
          <c:w val="0.16560372991350764"/>
          <c:h val="0.8995490605274836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Personnel</a:t>
            </a:r>
            <a:r>
              <a:rPr lang="fr-FR" sz="1200" baseline="0"/>
              <a:t> médical du budget H - suivi des ETP moyens annuels</a:t>
            </a:r>
            <a:endParaRPr lang="fr-FR" sz="1200"/>
          </a:p>
        </c:rich>
      </c:tx>
      <c:layout>
        <c:manualLayout>
          <c:xMode val="edge"/>
          <c:yMode val="edge"/>
          <c:x val="0.14341163786062011"/>
          <c:y val="3.4782608695652174E-2"/>
        </c:manualLayout>
      </c:layout>
      <c:overlay val="1"/>
    </c:title>
    <c:autoTitleDeleted val="0"/>
    <c:plotArea>
      <c:layout>
        <c:manualLayout>
          <c:layoutTarget val="inner"/>
          <c:xMode val="edge"/>
          <c:yMode val="edge"/>
          <c:x val="7.0050206379804178E-2"/>
          <c:y val="0.17648293963254594"/>
          <c:w val="0.77542682683336783"/>
          <c:h val="0.62800273878808632"/>
        </c:manualLayout>
      </c:layout>
      <c:lineChart>
        <c:grouping val="standard"/>
        <c:varyColors val="0"/>
        <c:ser>
          <c:idx val="5"/>
          <c:order val="0"/>
          <c:tx>
            <c:v>ETPMR PM annuel année N - réalisé</c:v>
          </c:tx>
          <c:spPr>
            <a:ln>
              <a:solidFill>
                <a:schemeClr val="accent2"/>
              </a:solidFill>
            </a:ln>
          </c:spPr>
          <c:marker>
            <c:symbol val="none"/>
          </c:marker>
          <c:cat>
            <c:strRef>
              <c:f>ETPMR!$D$14:$O$14</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ETPMR!$Q$28:$AB$28</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0"/>
          <c:order val="1"/>
          <c:tx>
            <c:v>ETPMR PM annuel année N - prévision</c:v>
          </c:tx>
          <c:spPr>
            <a:ln>
              <a:solidFill>
                <a:schemeClr val="accent2">
                  <a:lumMod val="60000"/>
                  <a:lumOff val="40000"/>
                </a:schemeClr>
              </a:solidFill>
              <a:prstDash val="dash"/>
            </a:ln>
          </c:spPr>
          <c:marker>
            <c:symbol val="none"/>
          </c:marker>
          <c:cat>
            <c:strRef>
              <c:f>ETPMR!$D$14:$O$14</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ETPMR!$Q$29:$AB$29</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1"/>
          <c:order val="2"/>
          <c:tx>
            <c:v>ETPMR annuel année N-1 - réalisé</c:v>
          </c:tx>
          <c:spPr>
            <a:ln>
              <a:solidFill>
                <a:schemeClr val="accent1">
                  <a:lumMod val="60000"/>
                  <a:lumOff val="40000"/>
                </a:schemeClr>
              </a:solidFill>
            </a:ln>
          </c:spPr>
          <c:marker>
            <c:symbol val="none"/>
          </c:marker>
          <c:cat>
            <c:strRef>
              <c:f>ETPMR!$D$14:$O$14</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'Base données mensuelles n-1'!$B$19:$M$19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01040512"/>
        <c:axId val="101042048"/>
      </c:lineChart>
      <c:catAx>
        <c:axId val="101040512"/>
        <c:scaling>
          <c:orientation val="minMax"/>
        </c:scaling>
        <c:delete val="0"/>
        <c:axPos val="b"/>
        <c:majorTickMark val="out"/>
        <c:minorTickMark val="none"/>
        <c:tickLblPos val="nextTo"/>
        <c:txPr>
          <a:bodyPr/>
          <a:lstStyle/>
          <a:p>
            <a:pPr>
              <a:defRPr sz="900"/>
            </a:pPr>
            <a:endParaRPr lang="fr-FR"/>
          </a:p>
        </c:txPr>
        <c:crossAx val="101042048"/>
        <c:crosses val="autoZero"/>
        <c:auto val="1"/>
        <c:lblAlgn val="ctr"/>
        <c:lblOffset val="100"/>
        <c:noMultiLvlLbl val="0"/>
      </c:catAx>
      <c:valAx>
        <c:axId val="101042048"/>
        <c:scaling>
          <c:orientation val="minMax"/>
        </c:scaling>
        <c:delete val="0"/>
        <c:axPos val="l"/>
        <c:majorGridlines/>
        <c:numFmt formatCode="#,##0.0" sourceLinked="1"/>
        <c:majorTickMark val="out"/>
        <c:minorTickMark val="none"/>
        <c:tickLblPos val="nextTo"/>
        <c:crossAx val="101040512"/>
        <c:crosses val="autoZero"/>
        <c:crossBetween val="between"/>
      </c:valAx>
    </c:plotArea>
    <c:legend>
      <c:legendPos val="r"/>
      <c:layout>
        <c:manualLayout>
          <c:xMode val="edge"/>
          <c:yMode val="edge"/>
          <c:x val="0.85392128888453256"/>
          <c:y val="5.6616227319411169E-2"/>
          <c:w val="0.14607871111546741"/>
          <c:h val="0.91738400091292938"/>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Rémunération</a:t>
            </a:r>
            <a:r>
              <a:rPr lang="fr-FR" sz="1200" baseline="0"/>
              <a:t> budget H- Personnel non médical - suivi mensuel</a:t>
            </a:r>
            <a:endParaRPr lang="fr-FR" sz="1200"/>
          </a:p>
        </c:rich>
      </c:tx>
      <c:layout/>
      <c:overlay val="0"/>
    </c:title>
    <c:autoTitleDeleted val="0"/>
    <c:plotArea>
      <c:layout>
        <c:manualLayout>
          <c:layoutTarget val="inner"/>
          <c:xMode val="edge"/>
          <c:yMode val="edge"/>
          <c:x val="0.10541907261592301"/>
          <c:y val="0.19282108395602776"/>
          <c:w val="0.63135761154855641"/>
          <c:h val="0.64020440173195869"/>
        </c:manualLayout>
      </c:layout>
      <c:lineChart>
        <c:grouping val="standard"/>
        <c:varyColors val="0"/>
        <c:ser>
          <c:idx val="0"/>
          <c:order val="0"/>
          <c:tx>
            <c:v>Rémunération PNM année N - réalisé</c:v>
          </c:tx>
          <c:spPr>
            <a:ln>
              <a:solidFill>
                <a:schemeClr val="accent2"/>
              </a:solidFill>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'Masse salariale'!$D$24:$O$24</c:f>
              <c:numCache>
                <c:formatCode>#,##0</c:formatCode>
                <c:ptCount val="12"/>
              </c:numCache>
            </c:numRef>
          </c:val>
          <c:smooth val="0"/>
        </c:ser>
        <c:ser>
          <c:idx val="1"/>
          <c:order val="1"/>
          <c:tx>
            <c:v>Rémunération PNM année N - prévision</c:v>
          </c:tx>
          <c:spPr>
            <a:ln>
              <a:solidFill>
                <a:schemeClr val="accent2">
                  <a:lumMod val="60000"/>
                  <a:lumOff val="40000"/>
                </a:schemeClr>
              </a:solidFill>
              <a:prstDash val="dash"/>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'Masse salariale'!$D$25:$O$25</c:f>
              <c:numCache>
                <c:formatCode>#,##0</c:formatCode>
                <c:ptCount val="12"/>
              </c:numCache>
            </c:numRef>
          </c:val>
          <c:smooth val="0"/>
        </c:ser>
        <c:ser>
          <c:idx val="2"/>
          <c:order val="2"/>
          <c:tx>
            <c:v>Rémunération PNM année N-1 - réalisé</c:v>
          </c:tx>
          <c:spPr>
            <a:ln>
              <a:solidFill>
                <a:schemeClr val="accent1">
                  <a:lumMod val="60000"/>
                  <a:lumOff val="40000"/>
                </a:schemeClr>
              </a:solidFill>
            </a:ln>
          </c:spPr>
          <c:marker>
            <c:symbol val="none"/>
          </c:marker>
          <c:val>
            <c:numRef>
              <c:f>'Base données mensuelles n-1'!$B$30:$M$30</c:f>
              <c:numCache>
                <c:formatCode>#,##0</c:formatCode>
                <c:ptCount val="12"/>
              </c:numCache>
            </c:numRef>
          </c:val>
          <c:smooth val="0"/>
        </c:ser>
        <c:dLbls>
          <c:showLegendKey val="0"/>
          <c:showVal val="0"/>
          <c:showCatName val="0"/>
          <c:showSerName val="0"/>
          <c:showPercent val="0"/>
          <c:showBubbleSize val="0"/>
        </c:dLbls>
        <c:marker val="1"/>
        <c:smooth val="0"/>
        <c:axId val="99514624"/>
        <c:axId val="99524608"/>
      </c:lineChart>
      <c:catAx>
        <c:axId val="99514624"/>
        <c:scaling>
          <c:orientation val="minMax"/>
        </c:scaling>
        <c:delete val="0"/>
        <c:axPos val="b"/>
        <c:majorTickMark val="out"/>
        <c:minorTickMark val="none"/>
        <c:tickLblPos val="nextTo"/>
        <c:txPr>
          <a:bodyPr/>
          <a:lstStyle/>
          <a:p>
            <a:pPr>
              <a:defRPr sz="900"/>
            </a:pPr>
            <a:endParaRPr lang="fr-FR"/>
          </a:p>
        </c:txPr>
        <c:crossAx val="99524608"/>
        <c:crosses val="autoZero"/>
        <c:auto val="1"/>
        <c:lblAlgn val="ctr"/>
        <c:lblOffset val="100"/>
        <c:noMultiLvlLbl val="0"/>
      </c:catAx>
      <c:valAx>
        <c:axId val="99524608"/>
        <c:scaling>
          <c:orientation val="minMax"/>
        </c:scaling>
        <c:delete val="0"/>
        <c:axPos val="l"/>
        <c:majorGridlines/>
        <c:numFmt formatCode="#,##0" sourceLinked="1"/>
        <c:majorTickMark val="out"/>
        <c:minorTickMark val="none"/>
        <c:tickLblPos val="nextTo"/>
        <c:crossAx val="99514624"/>
        <c:crosses val="autoZero"/>
        <c:crossBetween val="between"/>
      </c:valAx>
    </c:plotArea>
    <c:legend>
      <c:legendPos val="r"/>
      <c:layout>
        <c:manualLayout>
          <c:xMode val="edge"/>
          <c:yMode val="edge"/>
          <c:x val="0.72844335083114609"/>
          <c:y val="0.22114403230801533"/>
          <c:w val="0.25488998250218725"/>
          <c:h val="0.48871162368456333"/>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Rémunération budget H - Personnel médical - suivi mensuel</a:t>
            </a:r>
          </a:p>
        </c:rich>
      </c:tx>
      <c:layout/>
      <c:overlay val="0"/>
    </c:title>
    <c:autoTitleDeleted val="0"/>
    <c:plotArea>
      <c:layout>
        <c:manualLayout>
          <c:layoutTarget val="inner"/>
          <c:xMode val="edge"/>
          <c:yMode val="edge"/>
          <c:x val="0.10264129483814523"/>
          <c:y val="0.18893005570441559"/>
          <c:w val="0.62289938757655294"/>
          <c:h val="0.63742626166890526"/>
        </c:manualLayout>
      </c:layout>
      <c:lineChart>
        <c:grouping val="standard"/>
        <c:varyColors val="0"/>
        <c:ser>
          <c:idx val="0"/>
          <c:order val="0"/>
          <c:tx>
            <c:v>Rémunération PM année N</c:v>
          </c:tx>
          <c:spPr>
            <a:ln>
              <a:solidFill>
                <a:schemeClr val="accent2"/>
              </a:solidFill>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'Masse salariale'!$D$26:$O$26</c:f>
              <c:numCache>
                <c:formatCode>#,##0</c:formatCode>
                <c:ptCount val="12"/>
              </c:numCache>
            </c:numRef>
          </c:val>
          <c:smooth val="0"/>
        </c:ser>
        <c:ser>
          <c:idx val="1"/>
          <c:order val="1"/>
          <c:tx>
            <c:v>Rémunération PM année N - prévision</c:v>
          </c:tx>
          <c:spPr>
            <a:ln>
              <a:solidFill>
                <a:schemeClr val="accent2">
                  <a:lumMod val="60000"/>
                  <a:lumOff val="40000"/>
                </a:schemeClr>
              </a:solidFill>
              <a:prstDash val="dash"/>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'Masse salariale'!$D$27:$O$27</c:f>
              <c:numCache>
                <c:formatCode>#,##0</c:formatCode>
                <c:ptCount val="12"/>
              </c:numCache>
            </c:numRef>
          </c:val>
          <c:smooth val="0"/>
        </c:ser>
        <c:ser>
          <c:idx val="2"/>
          <c:order val="2"/>
          <c:tx>
            <c:v>Rémunération PM année N-1 - réalisé</c:v>
          </c:tx>
          <c:spPr>
            <a:ln>
              <a:solidFill>
                <a:schemeClr val="accent1">
                  <a:lumMod val="60000"/>
                  <a:lumOff val="40000"/>
                </a:schemeClr>
              </a:solidFill>
            </a:ln>
          </c:spPr>
          <c:marker>
            <c:symbol val="none"/>
          </c:marker>
          <c:val>
            <c:numRef>
              <c:f>'Base données mensuelles n-1'!$B$31:$M$31</c:f>
              <c:numCache>
                <c:formatCode>#,##0</c:formatCode>
                <c:ptCount val="12"/>
              </c:numCache>
            </c:numRef>
          </c:val>
          <c:smooth val="0"/>
        </c:ser>
        <c:dLbls>
          <c:showLegendKey val="0"/>
          <c:showVal val="0"/>
          <c:showCatName val="0"/>
          <c:showSerName val="0"/>
          <c:showPercent val="0"/>
          <c:showBubbleSize val="0"/>
        </c:dLbls>
        <c:marker val="1"/>
        <c:smooth val="0"/>
        <c:axId val="99546624"/>
        <c:axId val="99548160"/>
      </c:lineChart>
      <c:catAx>
        <c:axId val="99546624"/>
        <c:scaling>
          <c:orientation val="minMax"/>
        </c:scaling>
        <c:delete val="0"/>
        <c:axPos val="b"/>
        <c:majorTickMark val="out"/>
        <c:minorTickMark val="none"/>
        <c:tickLblPos val="nextTo"/>
        <c:txPr>
          <a:bodyPr/>
          <a:lstStyle/>
          <a:p>
            <a:pPr>
              <a:defRPr sz="900"/>
            </a:pPr>
            <a:endParaRPr lang="fr-FR"/>
          </a:p>
        </c:txPr>
        <c:crossAx val="99548160"/>
        <c:crosses val="autoZero"/>
        <c:auto val="1"/>
        <c:lblAlgn val="ctr"/>
        <c:lblOffset val="100"/>
        <c:noMultiLvlLbl val="0"/>
      </c:catAx>
      <c:valAx>
        <c:axId val="99548160"/>
        <c:scaling>
          <c:orientation val="minMax"/>
        </c:scaling>
        <c:delete val="0"/>
        <c:axPos val="l"/>
        <c:majorGridlines/>
        <c:numFmt formatCode="#,##0" sourceLinked="1"/>
        <c:majorTickMark val="out"/>
        <c:minorTickMark val="none"/>
        <c:tickLblPos val="nextTo"/>
        <c:crossAx val="99546624"/>
        <c:crosses val="autoZero"/>
        <c:crossBetween val="between"/>
      </c:valAx>
    </c:plotArea>
    <c:legend>
      <c:legendPos val="r"/>
      <c:layout>
        <c:manualLayout>
          <c:xMode val="edge"/>
          <c:yMode val="edge"/>
          <c:x val="0.74081846019247599"/>
          <c:y val="0.20689691560434315"/>
          <c:w val="0.2425148731408574"/>
          <c:h val="0.55612070194541197"/>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Masse salariale budget H - PM et PNM - suivi mensuel</a:t>
            </a:r>
          </a:p>
        </c:rich>
      </c:tx>
      <c:layout/>
      <c:overlay val="0"/>
    </c:title>
    <c:autoTitleDeleted val="0"/>
    <c:plotArea>
      <c:layout>
        <c:manualLayout>
          <c:layoutTarget val="inner"/>
          <c:xMode val="edge"/>
          <c:yMode val="edge"/>
          <c:x val="0.11375240594925634"/>
          <c:y val="0.17164211358114773"/>
          <c:w val="0.62356539807524058"/>
          <c:h val="0.65478449107577674"/>
        </c:manualLayout>
      </c:layout>
      <c:lineChart>
        <c:grouping val="standard"/>
        <c:varyColors val="0"/>
        <c:ser>
          <c:idx val="0"/>
          <c:order val="0"/>
          <c:tx>
            <c:v>Titre 1 hors personnel extérieur année N - réalisé</c:v>
          </c:tx>
          <c:spPr>
            <a:ln>
              <a:solidFill>
                <a:schemeClr val="accent2"/>
              </a:solidFill>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'Masse salariale'!$D$28:$O$28</c:f>
              <c:numCache>
                <c:formatCode>#,##0</c:formatCode>
                <c:ptCount val="12"/>
              </c:numCache>
            </c:numRef>
          </c:val>
          <c:smooth val="0"/>
        </c:ser>
        <c:ser>
          <c:idx val="1"/>
          <c:order val="1"/>
          <c:tx>
            <c:v>Titre 1 hors personnel extérieur année N - prévision</c:v>
          </c:tx>
          <c:spPr>
            <a:ln>
              <a:solidFill>
                <a:schemeClr val="accent2">
                  <a:lumMod val="60000"/>
                  <a:lumOff val="40000"/>
                </a:schemeClr>
              </a:solidFill>
              <a:prstDash val="dash"/>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'Masse salariale'!$D$29:$O$29</c:f>
              <c:numCache>
                <c:formatCode>#,##0</c:formatCode>
                <c:ptCount val="12"/>
              </c:numCache>
            </c:numRef>
          </c:val>
          <c:smooth val="0"/>
        </c:ser>
        <c:ser>
          <c:idx val="2"/>
          <c:order val="2"/>
          <c:tx>
            <c:v>Titre 1 hors personnel extérieur année N-1 - réalisé</c:v>
          </c:tx>
          <c:spPr>
            <a:ln>
              <a:solidFill>
                <a:schemeClr val="accent1">
                  <a:lumMod val="60000"/>
                  <a:lumOff val="40000"/>
                </a:schemeClr>
              </a:solidFill>
            </a:ln>
          </c:spPr>
          <c:marker>
            <c:symbol val="none"/>
          </c:marker>
          <c:val>
            <c:numRef>
              <c:f>'Base données mensuelles n-1'!$B$27:$M$27</c:f>
              <c:numCache>
                <c:formatCode>#,##0</c:formatCode>
                <c:ptCount val="12"/>
              </c:numCache>
            </c:numRef>
          </c:val>
          <c:smooth val="0"/>
        </c:ser>
        <c:dLbls>
          <c:showLegendKey val="0"/>
          <c:showVal val="0"/>
          <c:showCatName val="0"/>
          <c:showSerName val="0"/>
          <c:showPercent val="0"/>
          <c:showBubbleSize val="0"/>
        </c:dLbls>
        <c:marker val="1"/>
        <c:smooth val="0"/>
        <c:axId val="99635968"/>
        <c:axId val="99637504"/>
      </c:lineChart>
      <c:catAx>
        <c:axId val="99635968"/>
        <c:scaling>
          <c:orientation val="minMax"/>
        </c:scaling>
        <c:delete val="0"/>
        <c:axPos val="b"/>
        <c:majorTickMark val="out"/>
        <c:minorTickMark val="none"/>
        <c:tickLblPos val="nextTo"/>
        <c:txPr>
          <a:bodyPr/>
          <a:lstStyle/>
          <a:p>
            <a:pPr>
              <a:defRPr sz="900"/>
            </a:pPr>
            <a:endParaRPr lang="fr-FR"/>
          </a:p>
        </c:txPr>
        <c:crossAx val="99637504"/>
        <c:crosses val="autoZero"/>
        <c:auto val="1"/>
        <c:lblAlgn val="ctr"/>
        <c:lblOffset val="100"/>
        <c:noMultiLvlLbl val="0"/>
      </c:catAx>
      <c:valAx>
        <c:axId val="99637504"/>
        <c:scaling>
          <c:orientation val="minMax"/>
        </c:scaling>
        <c:delete val="0"/>
        <c:axPos val="l"/>
        <c:majorGridlines/>
        <c:numFmt formatCode="#,##0" sourceLinked="1"/>
        <c:majorTickMark val="out"/>
        <c:minorTickMark val="none"/>
        <c:tickLblPos val="nextTo"/>
        <c:crossAx val="99635968"/>
        <c:crosses val="autoZero"/>
        <c:crossBetween val="between"/>
      </c:valAx>
    </c:plotArea>
    <c:legend>
      <c:legendPos val="r"/>
      <c:layout>
        <c:manualLayout>
          <c:xMode val="edge"/>
          <c:yMode val="edge"/>
          <c:x val="0.744762467191601"/>
          <c:y val="0.13472485445622423"/>
          <c:w val="0.23857086614173229"/>
          <c:h val="0.84234547108471336"/>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Rémunération</a:t>
            </a:r>
            <a:r>
              <a:rPr lang="fr-FR" sz="1200" baseline="0"/>
              <a:t> budget H- Personnel non médical - cumulé annuel</a:t>
            </a:r>
            <a:endParaRPr lang="fr-FR" sz="1200"/>
          </a:p>
        </c:rich>
      </c:tx>
      <c:layout/>
      <c:overlay val="0"/>
    </c:title>
    <c:autoTitleDeleted val="0"/>
    <c:plotArea>
      <c:layout>
        <c:manualLayout>
          <c:layoutTarget val="inner"/>
          <c:xMode val="edge"/>
          <c:yMode val="edge"/>
          <c:x val="0.11653018372703412"/>
          <c:y val="0.18021250000000003"/>
          <c:w val="0.62024650043744534"/>
          <c:h val="0.6748270833333333"/>
        </c:manualLayout>
      </c:layout>
      <c:lineChart>
        <c:grouping val="standard"/>
        <c:varyColors val="0"/>
        <c:ser>
          <c:idx val="0"/>
          <c:order val="0"/>
          <c:tx>
            <c:v>Rémunération PNM année N - réalisé</c:v>
          </c:tx>
          <c:spPr>
            <a:ln>
              <a:solidFill>
                <a:schemeClr val="accent2"/>
              </a:solidFill>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'Masse salariale'!$Q$24:$AB$24</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1"/>
          <c:order val="1"/>
          <c:tx>
            <c:v>Rémunération PNM année N - prévision</c:v>
          </c:tx>
          <c:spPr>
            <a:ln>
              <a:solidFill>
                <a:schemeClr val="accent2">
                  <a:lumMod val="60000"/>
                  <a:lumOff val="40000"/>
                </a:schemeClr>
              </a:solidFill>
              <a:prstDash val="dash"/>
            </a:ln>
          </c:spPr>
          <c:marker>
            <c:symbol val="none"/>
          </c:marker>
          <c:cat>
            <c:strRef>
              <c:f>'Masse salariale'!$D$23:$O$23</c:f>
              <c:strCache>
                <c:ptCount val="12"/>
                <c:pt idx="0">
                  <c:v>janv 2019</c:v>
                </c:pt>
                <c:pt idx="1">
                  <c:v>fév 2019</c:v>
                </c:pt>
                <c:pt idx="2">
                  <c:v>mars 2019</c:v>
                </c:pt>
                <c:pt idx="3">
                  <c:v>avril 2019</c:v>
                </c:pt>
                <c:pt idx="4">
                  <c:v>mai 2019</c:v>
                </c:pt>
                <c:pt idx="5">
                  <c:v>juin 2019</c:v>
                </c:pt>
                <c:pt idx="6">
                  <c:v>juil 2019</c:v>
                </c:pt>
                <c:pt idx="7">
                  <c:v>août 2019</c:v>
                </c:pt>
                <c:pt idx="8">
                  <c:v>sept 2019</c:v>
                </c:pt>
                <c:pt idx="9">
                  <c:v>oct 2019</c:v>
                </c:pt>
                <c:pt idx="10">
                  <c:v>nov 2019</c:v>
                </c:pt>
                <c:pt idx="11">
                  <c:v>déc 2019</c:v>
                </c:pt>
              </c:strCache>
            </c:strRef>
          </c:cat>
          <c:val>
            <c:numRef>
              <c:f>'Masse salariale'!$Q$25:$AB$25</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ser>
        <c:ser>
          <c:idx val="2"/>
          <c:order val="2"/>
          <c:tx>
            <c:v>Rémunération PNM année N-1 - réalisé</c:v>
          </c:tx>
          <c:spPr>
            <a:ln>
              <a:solidFill>
                <a:schemeClr val="accent1">
                  <a:lumMod val="60000"/>
                  <a:lumOff val="40000"/>
                </a:schemeClr>
              </a:solidFill>
            </a:ln>
          </c:spPr>
          <c:marker>
            <c:symbol val="none"/>
          </c:marker>
          <c:val>
            <c:numRef>
              <c:f>'Base données mensuelles n-1'!$B$38:$M$38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99676160"/>
        <c:axId val="99677696"/>
      </c:lineChart>
      <c:catAx>
        <c:axId val="99676160"/>
        <c:scaling>
          <c:orientation val="minMax"/>
        </c:scaling>
        <c:delete val="0"/>
        <c:axPos val="b"/>
        <c:majorTickMark val="out"/>
        <c:minorTickMark val="none"/>
        <c:tickLblPos val="nextTo"/>
        <c:txPr>
          <a:bodyPr/>
          <a:lstStyle/>
          <a:p>
            <a:pPr>
              <a:defRPr sz="900"/>
            </a:pPr>
            <a:endParaRPr lang="fr-FR"/>
          </a:p>
        </c:txPr>
        <c:crossAx val="99677696"/>
        <c:crosses val="autoZero"/>
        <c:auto val="1"/>
        <c:lblAlgn val="ctr"/>
        <c:lblOffset val="100"/>
        <c:noMultiLvlLbl val="0"/>
      </c:catAx>
      <c:valAx>
        <c:axId val="99677696"/>
        <c:scaling>
          <c:orientation val="minMax"/>
        </c:scaling>
        <c:delete val="0"/>
        <c:axPos val="l"/>
        <c:majorGridlines/>
        <c:numFmt formatCode="#,##0" sourceLinked="1"/>
        <c:majorTickMark val="out"/>
        <c:minorTickMark val="none"/>
        <c:tickLblPos val="nextTo"/>
        <c:crossAx val="99676160"/>
        <c:crosses val="autoZero"/>
        <c:crossBetween val="between"/>
      </c:valAx>
    </c:plotArea>
    <c:legend>
      <c:legendPos val="r"/>
      <c:layout>
        <c:manualLayout>
          <c:xMode val="edge"/>
          <c:yMode val="edge"/>
          <c:x val="0.72566557305336832"/>
          <c:y val="0.22114403230801533"/>
          <c:w val="0.25766776027996502"/>
          <c:h val="0.51670615734366498"/>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6</xdr:col>
      <xdr:colOff>752474</xdr:colOff>
      <xdr:row>5</xdr:row>
      <xdr:rowOff>784225</xdr:rowOff>
    </xdr:from>
    <xdr:to>
      <xdr:col>14</xdr:col>
      <xdr:colOff>704850</xdr:colOff>
      <xdr:row>16</xdr:row>
      <xdr:rowOff>74613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698500</xdr:colOff>
      <xdr:row>51</xdr:row>
      <xdr:rowOff>155576</xdr:rowOff>
    </xdr:from>
    <xdr:to>
      <xdr:col>27</xdr:col>
      <xdr:colOff>697400</xdr:colOff>
      <xdr:row>62</xdr:row>
      <xdr:rowOff>148076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390525</xdr:colOff>
      <xdr:row>52</xdr:row>
      <xdr:rowOff>1</xdr:rowOff>
    </xdr:from>
    <xdr:to>
      <xdr:col>18</xdr:col>
      <xdr:colOff>300525</xdr:colOff>
      <xdr:row>62</xdr:row>
      <xdr:rowOff>183001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393700</xdr:colOff>
      <xdr:row>63</xdr:row>
      <xdr:rowOff>133350</xdr:rowOff>
    </xdr:from>
    <xdr:to>
      <xdr:col>18</xdr:col>
      <xdr:colOff>303700</xdr:colOff>
      <xdr:row>74</xdr:row>
      <xdr:rowOff>125850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733425</xdr:colOff>
      <xdr:row>63</xdr:row>
      <xdr:rowOff>133350</xdr:rowOff>
    </xdr:from>
    <xdr:to>
      <xdr:col>27</xdr:col>
      <xdr:colOff>691050</xdr:colOff>
      <xdr:row>74</xdr:row>
      <xdr:rowOff>125850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323850</xdr:colOff>
      <xdr:row>36</xdr:row>
      <xdr:rowOff>74612</xdr:rowOff>
    </xdr:from>
    <xdr:to>
      <xdr:col>15</xdr:col>
      <xdr:colOff>323850</xdr:colOff>
      <xdr:row>51</xdr:row>
      <xdr:rowOff>97112</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523875</xdr:colOff>
      <xdr:row>36</xdr:row>
      <xdr:rowOff>100012</xdr:rowOff>
    </xdr:from>
    <xdr:to>
      <xdr:col>21</xdr:col>
      <xdr:colOff>523875</xdr:colOff>
      <xdr:row>51</xdr:row>
      <xdr:rowOff>122512</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698500</xdr:colOff>
      <xdr:row>36</xdr:row>
      <xdr:rowOff>106362</xdr:rowOff>
    </xdr:from>
    <xdr:to>
      <xdr:col>27</xdr:col>
      <xdr:colOff>698500</xdr:colOff>
      <xdr:row>51</xdr:row>
      <xdr:rowOff>128862</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301625</xdr:colOff>
      <xdr:row>53</xdr:row>
      <xdr:rowOff>6352</xdr:rowOff>
    </xdr:from>
    <xdr:to>
      <xdr:col>15</xdr:col>
      <xdr:colOff>301625</xdr:colOff>
      <xdr:row>68</xdr:row>
      <xdr:rowOff>28852</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523875</xdr:colOff>
      <xdr:row>52</xdr:row>
      <xdr:rowOff>171450</xdr:rowOff>
    </xdr:from>
    <xdr:to>
      <xdr:col>21</xdr:col>
      <xdr:colOff>523875</xdr:colOff>
      <xdr:row>68</xdr:row>
      <xdr:rowOff>3450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714375</xdr:colOff>
      <xdr:row>52</xdr:row>
      <xdr:rowOff>168275</xdr:rowOff>
    </xdr:from>
    <xdr:to>
      <xdr:col>27</xdr:col>
      <xdr:colOff>714375</xdr:colOff>
      <xdr:row>68</xdr:row>
      <xdr:rowOff>275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28575</xdr:colOff>
      <xdr:row>34</xdr:row>
      <xdr:rowOff>176210</xdr:rowOff>
    </xdr:from>
    <xdr:to>
      <xdr:col>27</xdr:col>
      <xdr:colOff>682575</xdr:colOff>
      <xdr:row>46</xdr:row>
      <xdr:rowOff>146885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38100</xdr:colOff>
      <xdr:row>46</xdr:row>
      <xdr:rowOff>420687</xdr:rowOff>
    </xdr:from>
    <xdr:to>
      <xdr:col>27</xdr:col>
      <xdr:colOff>692100</xdr:colOff>
      <xdr:row>59</xdr:row>
      <xdr:rowOff>41187</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19050</xdr:colOff>
      <xdr:row>60</xdr:row>
      <xdr:rowOff>185736</xdr:rowOff>
    </xdr:from>
    <xdr:to>
      <xdr:col>27</xdr:col>
      <xdr:colOff>673050</xdr:colOff>
      <xdr:row>77</xdr:row>
      <xdr:rowOff>187236</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561974</xdr:colOff>
      <xdr:row>34</xdr:row>
      <xdr:rowOff>190499</xdr:rowOff>
    </xdr:from>
    <xdr:to>
      <xdr:col>21</xdr:col>
      <xdr:colOff>453974</xdr:colOff>
      <xdr:row>46</xdr:row>
      <xdr:rowOff>161174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533399</xdr:colOff>
      <xdr:row>46</xdr:row>
      <xdr:rowOff>447675</xdr:rowOff>
    </xdr:from>
    <xdr:to>
      <xdr:col>21</xdr:col>
      <xdr:colOff>425399</xdr:colOff>
      <xdr:row>59</xdr:row>
      <xdr:rowOff>68175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542924</xdr:colOff>
      <xdr:row>61</xdr:row>
      <xdr:rowOff>0</xdr:rowOff>
    </xdr:from>
    <xdr:to>
      <xdr:col>21</xdr:col>
      <xdr:colOff>434924</xdr:colOff>
      <xdr:row>78</xdr:row>
      <xdr:rowOff>1500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622300</xdr:colOff>
      <xdr:row>9</xdr:row>
      <xdr:rowOff>261935</xdr:rowOff>
    </xdr:from>
    <xdr:to>
      <xdr:col>27</xdr:col>
      <xdr:colOff>641350</xdr:colOff>
      <xdr:row>30</xdr:row>
      <xdr:rowOff>123824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showGridLines="0" tabSelected="1" zoomScaleNormal="100" workbookViewId="0">
      <selection activeCell="A2" sqref="A2:O2"/>
    </sheetView>
  </sheetViews>
  <sheetFormatPr baseColWidth="10" defaultRowHeight="15" x14ac:dyDescent="0.25"/>
  <cols>
    <col min="1" max="1" width="54" style="1" customWidth="1"/>
    <col min="2" max="10" width="11.42578125" style="1"/>
    <col min="11" max="11" width="13.140625" style="1" customWidth="1"/>
    <col min="12" max="16384" width="11.42578125" style="1"/>
  </cols>
  <sheetData>
    <row r="1" spans="1:15" ht="102" customHeight="1" x14ac:dyDescent="0.25">
      <c r="A1" s="175" t="s">
        <v>124</v>
      </c>
      <c r="B1" s="175"/>
      <c r="C1" s="175"/>
      <c r="D1" s="175"/>
      <c r="E1" s="175"/>
      <c r="F1" s="175"/>
      <c r="G1" s="175"/>
      <c r="H1" s="175"/>
      <c r="I1" s="175"/>
      <c r="J1" s="175"/>
      <c r="K1" s="175"/>
      <c r="L1" s="175"/>
      <c r="M1" s="175"/>
      <c r="N1" s="175"/>
      <c r="O1" s="175"/>
    </row>
    <row r="2" spans="1:15" ht="81" customHeight="1" x14ac:dyDescent="0.25">
      <c r="A2" s="176" t="s">
        <v>123</v>
      </c>
      <c r="B2" s="176"/>
      <c r="C2" s="176"/>
      <c r="D2" s="176"/>
      <c r="E2" s="176"/>
      <c r="F2" s="176"/>
      <c r="G2" s="176"/>
      <c r="H2" s="176"/>
      <c r="I2" s="176"/>
      <c r="J2" s="176"/>
      <c r="K2" s="176"/>
      <c r="L2" s="176"/>
      <c r="M2" s="176"/>
      <c r="N2" s="176"/>
      <c r="O2" s="176"/>
    </row>
    <row r="3" spans="1:15" ht="37.5" customHeight="1" thickBot="1" x14ac:dyDescent="0.3">
      <c r="A3" s="172"/>
      <c r="B3" s="172"/>
      <c r="C3" s="172"/>
      <c r="D3" s="172"/>
      <c r="E3" s="172"/>
      <c r="F3" s="25"/>
      <c r="H3" s="177" t="str">
        <f>"Synthèse des évolutions constatées par rapport à " &amp; année-1</f>
        <v>Synthèse des évolutions constatées par rapport à 2018</v>
      </c>
      <c r="I3" s="177"/>
      <c r="J3" s="177"/>
      <c r="K3" s="177"/>
      <c r="L3" s="177"/>
      <c r="M3" s="177"/>
      <c r="N3" s="177"/>
      <c r="O3" s="177"/>
    </row>
    <row r="4" spans="1:15" ht="79.5" customHeight="1" thickBot="1" x14ac:dyDescent="0.3">
      <c r="A4" s="159" t="s">
        <v>12</v>
      </c>
      <c r="B4" s="178" t="s">
        <v>41</v>
      </c>
      <c r="C4" s="178"/>
      <c r="D4" s="178"/>
      <c r="E4" s="179"/>
      <c r="H4" s="152"/>
      <c r="I4" s="153" t="s">
        <v>93</v>
      </c>
      <c r="J4" s="153" t="s">
        <v>94</v>
      </c>
      <c r="K4" s="153" t="s">
        <v>101</v>
      </c>
      <c r="L4" s="153" t="s">
        <v>98</v>
      </c>
      <c r="M4" s="153" t="s">
        <v>99</v>
      </c>
      <c r="N4" s="153" t="s">
        <v>95</v>
      </c>
      <c r="O4" s="154" t="s">
        <v>96</v>
      </c>
    </row>
    <row r="5" spans="1:15" ht="87.75" customHeight="1" thickBot="1" x14ac:dyDescent="0.3">
      <c r="H5" s="155" t="str">
        <f>"à fin " &amp; E12 &amp;" "&amp; année</f>
        <v>à fin mai 2019</v>
      </c>
      <c r="I5" s="156" t="str">
        <f>HLOOKUP(H5,ETPMR!P5:AB12,3,0)</f>
        <v>-</v>
      </c>
      <c r="J5" s="156" t="str">
        <f>HLOOKUP(H5,ETPMR!P5:AB12,6,0)</f>
        <v>-</v>
      </c>
      <c r="K5" s="157" t="str">
        <f>HLOOKUP(H5,'Masse salariale'!P4:AB10,3,0)</f>
        <v>-</v>
      </c>
      <c r="L5" s="157" t="str">
        <f>HLOOKUP(H5,Activité!P4:AB16,3,0)</f>
        <v>-</v>
      </c>
      <c r="M5" s="157" t="str">
        <f>HLOOKUP(H5,Activité!P4:AB16,4,0)</f>
        <v>-</v>
      </c>
      <c r="N5" s="157" t="str">
        <f>HLOOKUP(H5,Activité!P4:AB16,13,0)</f>
        <v>-</v>
      </c>
      <c r="O5" s="158" t="str">
        <f>HLOOKUP(H5,'Recettes T2A'!P4:AB8,5,0)</f>
        <v>-</v>
      </c>
    </row>
    <row r="6" spans="1:15" ht="100.5" customHeight="1" x14ac:dyDescent="0.25">
      <c r="A6" s="180" t="s">
        <v>13</v>
      </c>
      <c r="B6" s="180"/>
      <c r="C6" s="180"/>
      <c r="D6" s="180"/>
      <c r="E6" s="180"/>
    </row>
    <row r="7" spans="1:15" ht="37.5" customHeight="1" x14ac:dyDescent="0.25">
      <c r="A7" s="16"/>
    </row>
    <row r="8" spans="1:15" ht="33.75" customHeight="1" x14ac:dyDescent="0.25"/>
    <row r="9" spans="1:15" ht="51.75" customHeight="1" x14ac:dyDescent="0.25">
      <c r="A9" s="171" t="s">
        <v>4</v>
      </c>
      <c r="B9" s="171"/>
      <c r="C9" s="171"/>
      <c r="D9" s="171"/>
      <c r="E9" s="150">
        <v>2019</v>
      </c>
    </row>
    <row r="10" spans="1:15" x14ac:dyDescent="0.25">
      <c r="A10" s="173" t="s">
        <v>40</v>
      </c>
      <c r="B10" s="173"/>
      <c r="C10" s="173"/>
      <c r="D10" s="173"/>
      <c r="E10" s="173"/>
    </row>
    <row r="11" spans="1:15" customFormat="1" x14ac:dyDescent="0.25"/>
    <row r="12" spans="1:15" ht="49.5" customHeight="1" x14ac:dyDescent="0.25">
      <c r="A12" s="174" t="s">
        <v>80</v>
      </c>
      <c r="B12" s="174"/>
      <c r="C12" s="174"/>
      <c r="D12" s="174"/>
      <c r="E12" s="151" t="s">
        <v>85</v>
      </c>
    </row>
  </sheetData>
  <mergeCells count="9">
    <mergeCell ref="A9:D9"/>
    <mergeCell ref="A3:E3"/>
    <mergeCell ref="A10:E10"/>
    <mergeCell ref="A12:D12"/>
    <mergeCell ref="A1:O1"/>
    <mergeCell ref="A2:O2"/>
    <mergeCell ref="H3:O3"/>
    <mergeCell ref="B4:E4"/>
    <mergeCell ref="A6:E6"/>
  </mergeCells>
  <dataValidations count="1">
    <dataValidation type="list" allowBlank="1" showInputMessage="1" showErrorMessage="1" sqref="E12">
      <formula1>mois</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78"/>
  <sheetViews>
    <sheetView showGridLines="0" zoomScaleNormal="100" workbookViewId="0">
      <pane xSplit="1" ySplit="2" topLeftCell="B3" activePane="bottomRight" state="frozen"/>
      <selection pane="topRight" activeCell="B1" sqref="B1"/>
      <selection pane="bottomLeft" activeCell="A4" sqref="A4"/>
      <selection pane="bottomRight" activeCell="L34" sqref="L34"/>
    </sheetView>
  </sheetViews>
  <sheetFormatPr baseColWidth="10" defaultRowHeight="15" x14ac:dyDescent="0.25"/>
  <cols>
    <col min="1" max="1" width="28.5703125" style="6" customWidth="1"/>
    <col min="2" max="2" width="11.140625" style="6" customWidth="1"/>
    <col min="3" max="7" width="11.42578125" style="6"/>
    <col min="8" max="8" width="11.42578125" style="6" customWidth="1"/>
    <col min="9" max="17" width="11.42578125" style="6"/>
    <col min="18" max="25" width="11.42578125" style="41"/>
    <col min="26" max="26" width="10.7109375" style="41" customWidth="1"/>
    <col min="27" max="28" width="11.42578125" style="41"/>
    <col min="29" max="29" width="11.42578125" style="43"/>
    <col min="30" max="31" width="11.42578125" style="4"/>
    <col min="32" max="16384" width="11.42578125" style="6"/>
  </cols>
  <sheetData>
    <row r="1" spans="1:32" ht="43.5" customHeight="1" x14ac:dyDescent="0.25">
      <c r="A1" s="190" t="s">
        <v>7</v>
      </c>
      <c r="B1" s="190"/>
      <c r="C1" s="190"/>
      <c r="D1" s="190"/>
      <c r="E1" s="190"/>
      <c r="F1" s="190"/>
      <c r="G1" s="190"/>
      <c r="H1" s="190"/>
      <c r="I1" s="190"/>
      <c r="J1" s="183" t="str">
        <f>'Page de garde'!A1</f>
        <v>Tableau de bord de suivi mensuel</v>
      </c>
      <c r="K1" s="183"/>
      <c r="L1" s="183"/>
      <c r="M1" s="183"/>
      <c r="N1" s="183"/>
      <c r="O1" s="183" t="str">
        <f>'Page de garde'!B4</f>
        <v>CH xxx</v>
      </c>
      <c r="P1" s="183"/>
      <c r="Q1" s="183"/>
      <c r="R1" s="183"/>
      <c r="S1" s="183"/>
      <c r="T1" s="183"/>
      <c r="U1" s="183"/>
      <c r="V1" s="183"/>
      <c r="W1" s="183" t="s">
        <v>97</v>
      </c>
      <c r="X1" s="183"/>
      <c r="Y1" s="187"/>
      <c r="Z1" s="188" t="str">
        <f>'Page de garde'!E12&amp; " " &amp;'Page de garde'!E9</f>
        <v>mai 2019</v>
      </c>
      <c r="AA1" s="189"/>
      <c r="AB1" s="189"/>
    </row>
    <row r="3" spans="1:32" ht="15.75" thickBot="1" x14ac:dyDescent="0.3">
      <c r="R3" s="46"/>
      <c r="S3" s="46"/>
      <c r="T3" s="46"/>
      <c r="U3" s="46"/>
      <c r="V3" s="46"/>
      <c r="W3" s="46"/>
      <c r="X3" s="46"/>
      <c r="Y3" s="46"/>
      <c r="Z3" s="46"/>
      <c r="AA3" s="46"/>
      <c r="AB3" s="46"/>
    </row>
    <row r="4" spans="1:32" ht="15.75" customHeight="1" x14ac:dyDescent="0.25">
      <c r="A4" s="191" t="s">
        <v>113</v>
      </c>
      <c r="B4" s="191"/>
      <c r="C4" s="191"/>
      <c r="D4" s="191"/>
      <c r="E4" s="191"/>
      <c r="F4" s="191"/>
      <c r="G4" s="191"/>
      <c r="H4" s="191"/>
      <c r="I4" s="191"/>
      <c r="J4" s="191"/>
      <c r="K4" s="191"/>
      <c r="L4" s="191"/>
      <c r="M4" s="191"/>
      <c r="N4" s="191"/>
      <c r="P4" s="184" t="str">
        <f>"Ecart avec les données de l'année " &amp; année-1</f>
        <v>Ecart avec les données de l'année 2018</v>
      </c>
      <c r="Q4" s="185"/>
      <c r="R4" s="185"/>
      <c r="S4" s="185"/>
      <c r="T4" s="185"/>
      <c r="U4" s="185"/>
      <c r="V4" s="185"/>
      <c r="W4" s="185"/>
      <c r="X4" s="185"/>
      <c r="Y4" s="185"/>
      <c r="Z4" s="185"/>
      <c r="AA4" s="185"/>
      <c r="AB4" s="186"/>
    </row>
    <row r="5" spans="1:32" ht="30" x14ac:dyDescent="0.25">
      <c r="A5" s="191"/>
      <c r="B5" s="191"/>
      <c r="C5" s="191"/>
      <c r="D5" s="191"/>
      <c r="E5" s="191"/>
      <c r="F5" s="191"/>
      <c r="G5" s="191"/>
      <c r="H5" s="191"/>
      <c r="I5" s="191"/>
      <c r="J5" s="191"/>
      <c r="K5" s="191"/>
      <c r="L5" s="191"/>
      <c r="M5" s="191"/>
      <c r="N5" s="191"/>
      <c r="O5" s="4"/>
      <c r="P5" s="59"/>
      <c r="Q5" s="60" t="str">
        <f>"à fin janv " &amp; année</f>
        <v>à fin janv 2019</v>
      </c>
      <c r="R5" s="60" t="str">
        <f>"à fin fév " &amp; année</f>
        <v>à fin fév 2019</v>
      </c>
      <c r="S5" s="60" t="str">
        <f>"à fin mars " &amp; année</f>
        <v>à fin mars 2019</v>
      </c>
      <c r="T5" s="60" t="str">
        <f>"à fin avril " &amp; année</f>
        <v>à fin avril 2019</v>
      </c>
      <c r="U5" s="60" t="str">
        <f>"à fin mai " &amp; année</f>
        <v>à fin mai 2019</v>
      </c>
      <c r="V5" s="60" t="str">
        <f>"à fin juin " &amp; année</f>
        <v>à fin juin 2019</v>
      </c>
      <c r="W5" s="60" t="str">
        <f>"à fin juil " &amp; année</f>
        <v>à fin juil 2019</v>
      </c>
      <c r="X5" s="60" t="str">
        <f>"à fin août " &amp; année</f>
        <v>à fin août 2019</v>
      </c>
      <c r="Y5" s="60" t="str">
        <f>"à fin sept " &amp; année</f>
        <v>à fin sept 2019</v>
      </c>
      <c r="Z5" s="60" t="str">
        <f>"à fin oct " &amp; année</f>
        <v>à fin oct 2019</v>
      </c>
      <c r="AA5" s="60" t="str">
        <f>"à fin nov " &amp; année</f>
        <v>à fin nov 2019</v>
      </c>
      <c r="AB5" s="61" t="str">
        <f>"à fin déc " &amp; année</f>
        <v>à fin déc 2019</v>
      </c>
    </row>
    <row r="6" spans="1:32" ht="45" x14ac:dyDescent="0.25">
      <c r="A6" s="191"/>
      <c r="B6" s="191"/>
      <c r="C6" s="191"/>
      <c r="D6" s="191"/>
      <c r="E6" s="191"/>
      <c r="F6" s="191"/>
      <c r="G6" s="191"/>
      <c r="H6" s="191"/>
      <c r="I6" s="191"/>
      <c r="J6" s="191"/>
      <c r="K6" s="191"/>
      <c r="L6" s="191"/>
      <c r="M6" s="191"/>
      <c r="N6" s="191"/>
      <c r="O6" s="4"/>
      <c r="P6" s="56" t="s">
        <v>58</v>
      </c>
      <c r="Q6" s="99" t="str">
        <f>IFERROR(Q15-'Base données mensuelles n-1'!B15, "-")</f>
        <v>-</v>
      </c>
      <c r="R6" s="99" t="str">
        <f>IFERROR(R15-'Base données mensuelles n-1'!C15, "-")</f>
        <v>-</v>
      </c>
      <c r="S6" s="99" t="str">
        <f>IFERROR(S15-'Base données mensuelles n-1'!D15, "-")</f>
        <v>-</v>
      </c>
      <c r="T6" s="99" t="str">
        <f>IFERROR(T15-'Base données mensuelles n-1'!E15, "-")</f>
        <v>-</v>
      </c>
      <c r="U6" s="99" t="str">
        <f>IFERROR(U15-'Base données mensuelles n-1'!F15, "-")</f>
        <v>-</v>
      </c>
      <c r="V6" s="99" t="str">
        <f>IFERROR(V15-'Base données mensuelles n-1'!G15, "-")</f>
        <v>-</v>
      </c>
      <c r="W6" s="99" t="str">
        <f>IFERROR(W15-'Base données mensuelles n-1'!H15, "-")</f>
        <v>-</v>
      </c>
      <c r="X6" s="99" t="str">
        <f>IFERROR(X15-'Base données mensuelles n-1'!I15, "-")</f>
        <v>-</v>
      </c>
      <c r="Y6" s="99" t="str">
        <f>IFERROR(Y15-'Base données mensuelles n-1'!J15, "-")</f>
        <v>-</v>
      </c>
      <c r="Z6" s="99" t="str">
        <f>IFERROR(Z15-'Base données mensuelles n-1'!K15, "-")</f>
        <v>-</v>
      </c>
      <c r="AA6" s="99" t="str">
        <f>IFERROR(AA15-'Base données mensuelles n-1'!L15, "-")</f>
        <v>-</v>
      </c>
      <c r="AB6" s="100" t="str">
        <f>IFERROR(AB15-'Base données mensuelles n-1'!M15, "-")</f>
        <v>-</v>
      </c>
    </row>
    <row r="7" spans="1:32" ht="30" x14ac:dyDescent="0.25">
      <c r="A7" s="191"/>
      <c r="B7" s="191"/>
      <c r="C7" s="191"/>
      <c r="D7" s="191"/>
      <c r="E7" s="191"/>
      <c r="F7" s="191"/>
      <c r="G7" s="191"/>
      <c r="H7" s="191"/>
      <c r="I7" s="191"/>
      <c r="J7" s="191"/>
      <c r="K7" s="191"/>
      <c r="L7" s="191"/>
      <c r="M7" s="191"/>
      <c r="N7" s="191"/>
      <c r="O7" s="4"/>
      <c r="P7" s="56" t="s">
        <v>59</v>
      </c>
      <c r="Q7" s="99" t="str">
        <f>IFERROR(Q24-'Base données mensuelles n-1'!B16, "-")</f>
        <v>-</v>
      </c>
      <c r="R7" s="99" t="str">
        <f>IFERROR(R24-'Base données mensuelles n-1'!C16, "-")</f>
        <v>-</v>
      </c>
      <c r="S7" s="99" t="str">
        <f>IFERROR(S24-'Base données mensuelles n-1'!D16, "-")</f>
        <v>-</v>
      </c>
      <c r="T7" s="99" t="str">
        <f>IFERROR(T24-'Base données mensuelles n-1'!E16, "-")</f>
        <v>-</v>
      </c>
      <c r="U7" s="99" t="str">
        <f>IFERROR(U24-'Base données mensuelles n-1'!F16, "-")</f>
        <v>-</v>
      </c>
      <c r="V7" s="99" t="str">
        <f>IFERROR(V24-'Base données mensuelles n-1'!G16, "-")</f>
        <v>-</v>
      </c>
      <c r="W7" s="99" t="str">
        <f>IFERROR(W24-'Base données mensuelles n-1'!H16, "-")</f>
        <v>-</v>
      </c>
      <c r="X7" s="99" t="str">
        <f>IFERROR(X24-'Base données mensuelles n-1'!I16, "-")</f>
        <v>-</v>
      </c>
      <c r="Y7" s="99" t="str">
        <f>IFERROR(Y24-'Base données mensuelles n-1'!J16, "-")</f>
        <v>-</v>
      </c>
      <c r="Z7" s="99" t="str">
        <f>IFERROR(Z24-'Base données mensuelles n-1'!K16, "-")</f>
        <v>-</v>
      </c>
      <c r="AA7" s="99" t="str">
        <f>IFERROR(AA24-'Base données mensuelles n-1'!L16, "-")</f>
        <v>-</v>
      </c>
      <c r="AB7" s="100" t="str">
        <f>IFERROR(AB24-'Base données mensuelles n-1'!M16, "-")</f>
        <v>-</v>
      </c>
    </row>
    <row r="8" spans="1:32" ht="24" x14ac:dyDescent="0.25">
      <c r="A8" s="191"/>
      <c r="B8" s="191"/>
      <c r="C8" s="191"/>
      <c r="D8" s="191"/>
      <c r="E8" s="191"/>
      <c r="F8" s="191"/>
      <c r="G8" s="191"/>
      <c r="H8" s="191"/>
      <c r="I8" s="191"/>
      <c r="J8" s="191"/>
      <c r="K8" s="191"/>
      <c r="L8" s="191"/>
      <c r="M8" s="191"/>
      <c r="N8" s="191"/>
      <c r="O8" s="4"/>
      <c r="P8" s="126" t="s">
        <v>57</v>
      </c>
      <c r="Q8" s="101" t="str">
        <f>IFERROR(Q26-'Base données mensuelles n-1'!B17, "-")</f>
        <v>-</v>
      </c>
      <c r="R8" s="101" t="str">
        <f>IFERROR(R26-'Base données mensuelles n-1'!C17, "-")</f>
        <v>-</v>
      </c>
      <c r="S8" s="101" t="str">
        <f>IFERROR(S26-'Base données mensuelles n-1'!D17, "-")</f>
        <v>-</v>
      </c>
      <c r="T8" s="101" t="str">
        <f>IFERROR(T26-'Base données mensuelles n-1'!E17, "-")</f>
        <v>-</v>
      </c>
      <c r="U8" s="101" t="str">
        <f>IFERROR(U26-'Base données mensuelles n-1'!F17, "-")</f>
        <v>-</v>
      </c>
      <c r="V8" s="101" t="str">
        <f>IFERROR(V26-'Base données mensuelles n-1'!G17, "-")</f>
        <v>-</v>
      </c>
      <c r="W8" s="101" t="str">
        <f>IFERROR(W26-'Base données mensuelles n-1'!H17, "-")</f>
        <v>-</v>
      </c>
      <c r="X8" s="101" t="str">
        <f>IFERROR(X26-'Base données mensuelles n-1'!I17, "-")</f>
        <v>-</v>
      </c>
      <c r="Y8" s="101" t="str">
        <f>IFERROR(Y26-'Base données mensuelles n-1'!J17, "-")</f>
        <v>-</v>
      </c>
      <c r="Z8" s="101" t="str">
        <f>IFERROR(Z26-'Base données mensuelles n-1'!K17, "-")</f>
        <v>-</v>
      </c>
      <c r="AA8" s="101" t="str">
        <f>IFERROR(AA26-'Base données mensuelles n-1'!L17, "-")</f>
        <v>-</v>
      </c>
      <c r="AB8" s="102" t="str">
        <f>IFERROR(AB26-'Base données mensuelles n-1'!M17, "-")</f>
        <v>-</v>
      </c>
    </row>
    <row r="9" spans="1:32" ht="24" x14ac:dyDescent="0.25">
      <c r="A9" s="191"/>
      <c r="B9" s="191"/>
      <c r="C9" s="191"/>
      <c r="D9" s="191"/>
      <c r="E9" s="191"/>
      <c r="F9" s="191"/>
      <c r="G9" s="191"/>
      <c r="H9" s="191"/>
      <c r="I9" s="191"/>
      <c r="J9" s="191"/>
      <c r="K9" s="191"/>
      <c r="L9" s="191"/>
      <c r="M9" s="191"/>
      <c r="N9" s="191"/>
      <c r="O9" s="4"/>
      <c r="P9" s="126" t="s">
        <v>56</v>
      </c>
      <c r="Q9" s="101" t="str">
        <f>IFERROR(Q27-'Base données mensuelles n-1'!B18, "-")</f>
        <v>-</v>
      </c>
      <c r="R9" s="101" t="str">
        <f>IFERROR(R27-'Base données mensuelles n-1'!C18, "-")</f>
        <v>-</v>
      </c>
      <c r="S9" s="101" t="str">
        <f>IFERROR(S27-'Base données mensuelles n-1'!D18, "-")</f>
        <v>-</v>
      </c>
      <c r="T9" s="101" t="str">
        <f>IFERROR(T27-'Base données mensuelles n-1'!E18, "-")</f>
        <v>-</v>
      </c>
      <c r="U9" s="101" t="str">
        <f>IFERROR(U27-'Base données mensuelles n-1'!F18, "-")</f>
        <v>-</v>
      </c>
      <c r="V9" s="101" t="str">
        <f>IFERROR(V27-'Base données mensuelles n-1'!G18, "-")</f>
        <v>-</v>
      </c>
      <c r="W9" s="101" t="str">
        <f>IFERROR(W27-'Base données mensuelles n-1'!H18, "-")</f>
        <v>-</v>
      </c>
      <c r="X9" s="101" t="str">
        <f>IFERROR(X27-'Base données mensuelles n-1'!I18, "-")</f>
        <v>-</v>
      </c>
      <c r="Y9" s="101" t="str">
        <f>IFERROR(Y27-'Base données mensuelles n-1'!J18, "-")</f>
        <v>-</v>
      </c>
      <c r="Z9" s="101" t="str">
        <f>IFERROR(Z27-'Base données mensuelles n-1'!K18, "-")</f>
        <v>-</v>
      </c>
      <c r="AA9" s="101" t="str">
        <f>IFERROR(AA27-'Base données mensuelles n-1'!L18, "-")</f>
        <v>-</v>
      </c>
      <c r="AB9" s="102" t="str">
        <f>IFERROR(AB27-'Base données mensuelles n-1'!M18, "-")</f>
        <v>-</v>
      </c>
    </row>
    <row r="10" spans="1:32" ht="30" x14ac:dyDescent="0.25">
      <c r="A10" s="191"/>
      <c r="B10" s="191"/>
      <c r="C10" s="191"/>
      <c r="D10" s="191"/>
      <c r="E10" s="191"/>
      <c r="F10" s="191"/>
      <c r="G10" s="191"/>
      <c r="H10" s="191"/>
      <c r="I10" s="191"/>
      <c r="J10" s="191"/>
      <c r="K10" s="191"/>
      <c r="L10" s="191"/>
      <c r="M10" s="191"/>
      <c r="N10" s="191"/>
      <c r="O10" s="4"/>
      <c r="P10" s="56" t="s">
        <v>60</v>
      </c>
      <c r="Q10" s="99" t="str">
        <f>IFERROR(Q28-'Base données mensuelles n-1'!B19, "-")</f>
        <v>-</v>
      </c>
      <c r="R10" s="99" t="str">
        <f>IFERROR(R28-'Base données mensuelles n-1'!C19, "-")</f>
        <v>-</v>
      </c>
      <c r="S10" s="99" t="str">
        <f>IFERROR(S28-'Base données mensuelles n-1'!D19, "-")</f>
        <v>-</v>
      </c>
      <c r="T10" s="99" t="str">
        <f>IFERROR(T28-'Base données mensuelles n-1'!E19, "-")</f>
        <v>-</v>
      </c>
      <c r="U10" s="99" t="str">
        <f>IFERROR(U28-'Base données mensuelles n-1'!F19, "-")</f>
        <v>-</v>
      </c>
      <c r="V10" s="99" t="str">
        <f>IFERROR(V28-'Base données mensuelles n-1'!G19, "-")</f>
        <v>-</v>
      </c>
      <c r="W10" s="99" t="str">
        <f>IFERROR(W28-'Base données mensuelles n-1'!H19, "-")</f>
        <v>-</v>
      </c>
      <c r="X10" s="99" t="str">
        <f>IFERROR(X28-'Base données mensuelles n-1'!I19, "-")</f>
        <v>-</v>
      </c>
      <c r="Y10" s="99" t="str">
        <f>IFERROR(Y28-'Base données mensuelles n-1'!J19, "-")</f>
        <v>-</v>
      </c>
      <c r="Z10" s="99" t="str">
        <f>IFERROR(Z28-'Base données mensuelles n-1'!K19, "-")</f>
        <v>-</v>
      </c>
      <c r="AA10" s="99" t="str">
        <f>IFERROR(AA28-'Base données mensuelles n-1'!L19, "-")</f>
        <v>-</v>
      </c>
      <c r="AB10" s="100" t="str">
        <f>IFERROR(AB28-'Base données mensuelles n-1'!M19, "-")</f>
        <v>-</v>
      </c>
    </row>
    <row r="11" spans="1:32" ht="24" x14ac:dyDescent="0.25">
      <c r="A11" s="191"/>
      <c r="B11" s="191"/>
      <c r="C11" s="191"/>
      <c r="D11" s="191"/>
      <c r="E11" s="191"/>
      <c r="F11" s="191"/>
      <c r="G11" s="191"/>
      <c r="H11" s="191"/>
      <c r="I11" s="191"/>
      <c r="J11" s="191"/>
      <c r="K11" s="191"/>
      <c r="L11" s="191"/>
      <c r="M11" s="191"/>
      <c r="N11" s="191"/>
      <c r="O11" s="4"/>
      <c r="P11" s="126" t="s">
        <v>57</v>
      </c>
      <c r="Q11" s="101" t="str">
        <f>IFERROR(Q30-'Base données mensuelles n-1'!B20, "-")</f>
        <v>-</v>
      </c>
      <c r="R11" s="101" t="str">
        <f>IFERROR(R30-'Base données mensuelles n-1'!C20, "-")</f>
        <v>-</v>
      </c>
      <c r="S11" s="101" t="str">
        <f>IFERROR(S30-'Base données mensuelles n-1'!D20, "-")</f>
        <v>-</v>
      </c>
      <c r="T11" s="101" t="str">
        <f>IFERROR(T30-'Base données mensuelles n-1'!E20, "-")</f>
        <v>-</v>
      </c>
      <c r="U11" s="101" t="str">
        <f>IFERROR(U30-'Base données mensuelles n-1'!F20, "-")</f>
        <v>-</v>
      </c>
      <c r="V11" s="101" t="str">
        <f>IFERROR(V30-'Base données mensuelles n-1'!G20, "-")</f>
        <v>-</v>
      </c>
      <c r="W11" s="101" t="str">
        <f>IFERROR(W30-'Base données mensuelles n-1'!H20, "-")</f>
        <v>-</v>
      </c>
      <c r="X11" s="101" t="str">
        <f>IFERROR(X30-'Base données mensuelles n-1'!I20, "-")</f>
        <v>-</v>
      </c>
      <c r="Y11" s="101" t="str">
        <f>IFERROR(Y30-'Base données mensuelles n-1'!J20, "-")</f>
        <v>-</v>
      </c>
      <c r="Z11" s="101" t="str">
        <f>IFERROR(Z30-'Base données mensuelles n-1'!K20, "-")</f>
        <v>-</v>
      </c>
      <c r="AA11" s="101" t="str">
        <f>IFERROR(AA30-'Base données mensuelles n-1'!L20, "-")</f>
        <v>-</v>
      </c>
      <c r="AB11" s="102" t="str">
        <f>IFERROR(AB30-'Base données mensuelles n-1'!M20, "-")</f>
        <v>-</v>
      </c>
    </row>
    <row r="12" spans="1:32" ht="24.75" thickBot="1" x14ac:dyDescent="0.3">
      <c r="N12" s="4"/>
      <c r="O12" s="4"/>
      <c r="P12" s="127" t="s">
        <v>56</v>
      </c>
      <c r="Q12" s="103" t="str">
        <f>IFERROR(Q31-'Base données mensuelles n-1'!B21, "-")</f>
        <v>-</v>
      </c>
      <c r="R12" s="103" t="str">
        <f>IFERROR(R31-'Base données mensuelles n-1'!C21, "-")</f>
        <v>-</v>
      </c>
      <c r="S12" s="103" t="str">
        <f>IFERROR(S31-'Base données mensuelles n-1'!D21, "-")</f>
        <v>-</v>
      </c>
      <c r="T12" s="103" t="str">
        <f>IFERROR(T31-'Base données mensuelles n-1'!E21, "-")</f>
        <v>-</v>
      </c>
      <c r="U12" s="103" t="str">
        <f>IFERROR(U31-'Base données mensuelles n-1'!F21, "-")</f>
        <v>-</v>
      </c>
      <c r="V12" s="103" t="str">
        <f>IFERROR(V31-'Base données mensuelles n-1'!G21, "-")</f>
        <v>-</v>
      </c>
      <c r="W12" s="103" t="str">
        <f>IFERROR(W31-'Base données mensuelles n-1'!H21, "-")</f>
        <v>-</v>
      </c>
      <c r="X12" s="103" t="str">
        <f>IFERROR(X31-'Base données mensuelles n-1'!I21, "-")</f>
        <v>-</v>
      </c>
      <c r="Y12" s="103" t="str">
        <f>IFERROR(Y31-'Base données mensuelles n-1'!J21, "-")</f>
        <v>-</v>
      </c>
      <c r="Z12" s="103" t="str">
        <f>IFERROR(Z31-'Base données mensuelles n-1'!K21, "-")</f>
        <v>-</v>
      </c>
      <c r="AA12" s="103" t="str">
        <f>IFERROR(AA31-'Base données mensuelles n-1'!L21, "-")</f>
        <v>-</v>
      </c>
      <c r="AB12" s="104" t="str">
        <f>IFERROR(AB31-'Base données mensuelles n-1'!M21, "-")</f>
        <v>-</v>
      </c>
    </row>
    <row r="13" spans="1:32" customFormat="1" ht="29.25" customHeight="1" x14ac:dyDescent="0.25">
      <c r="A13" s="6"/>
      <c r="B13" s="165"/>
      <c r="C13" s="165"/>
      <c r="D13" s="193" t="s">
        <v>106</v>
      </c>
      <c r="E13" s="193"/>
      <c r="F13" s="193"/>
      <c r="G13" s="193"/>
      <c r="H13" s="193"/>
      <c r="I13" s="193"/>
      <c r="J13" s="193"/>
      <c r="K13" s="193"/>
      <c r="L13" s="193"/>
      <c r="M13" s="193"/>
      <c r="N13" s="193"/>
      <c r="O13" s="193"/>
      <c r="Q13" s="192" t="s">
        <v>107</v>
      </c>
      <c r="R13" s="192"/>
      <c r="S13" s="192"/>
      <c r="T13" s="192"/>
      <c r="U13" s="192"/>
      <c r="V13" s="192"/>
      <c r="W13" s="192"/>
      <c r="X13" s="192"/>
      <c r="Y13" s="192"/>
      <c r="Z13" s="192"/>
      <c r="AA13" s="192"/>
      <c r="AB13" s="192"/>
    </row>
    <row r="14" spans="1:32" ht="36.75" customHeight="1" x14ac:dyDescent="0.25">
      <c r="A14" s="5" t="s">
        <v>0</v>
      </c>
      <c r="B14" s="42">
        <f>année-2</f>
        <v>2017</v>
      </c>
      <c r="C14" s="42">
        <f>année-1</f>
        <v>2018</v>
      </c>
      <c r="D14" s="27" t="str">
        <f>"janv " &amp; année</f>
        <v>janv 2019</v>
      </c>
      <c r="E14" s="27" t="str">
        <f>"fév " &amp; année</f>
        <v>fév 2019</v>
      </c>
      <c r="F14" s="27" t="str">
        <f>"mars " &amp; année</f>
        <v>mars 2019</v>
      </c>
      <c r="G14" s="27" t="str">
        <f>"avril " &amp; année</f>
        <v>avril 2019</v>
      </c>
      <c r="H14" s="27" t="str">
        <f>"mai " &amp; année</f>
        <v>mai 2019</v>
      </c>
      <c r="I14" s="27" t="str">
        <f>"juin " &amp; année</f>
        <v>juin 2019</v>
      </c>
      <c r="J14" s="27" t="str">
        <f>"juil " &amp; année</f>
        <v>juil 2019</v>
      </c>
      <c r="K14" s="27" t="str">
        <f>"août " &amp; année</f>
        <v>août 2019</v>
      </c>
      <c r="L14" s="27" t="str">
        <f>"sept " &amp; année</f>
        <v>sept 2019</v>
      </c>
      <c r="M14" s="27" t="str">
        <f>"oct " &amp; année</f>
        <v>oct 2019</v>
      </c>
      <c r="N14" s="27" t="str">
        <f>"nov " &amp; année</f>
        <v>nov 2019</v>
      </c>
      <c r="O14" s="27" t="str">
        <f>"déc " &amp; année</f>
        <v>déc 2019</v>
      </c>
      <c r="Q14" s="27" t="str">
        <f>"janv " &amp; année</f>
        <v>janv 2019</v>
      </c>
      <c r="R14" s="27" t="str">
        <f>"janv-fév " &amp; année</f>
        <v>janv-fév 2019</v>
      </c>
      <c r="S14" s="27" t="str">
        <f>"janv-mars " &amp; année</f>
        <v>janv-mars 2019</v>
      </c>
      <c r="T14" s="27" t="str">
        <f>"janv-avril " &amp; année</f>
        <v>janv-avril 2019</v>
      </c>
      <c r="U14" s="27" t="str">
        <f>"janv-mai " &amp; année</f>
        <v>janv-mai 2019</v>
      </c>
      <c r="V14" s="27" t="str">
        <f>"janv-juin " &amp; année</f>
        <v>janv-juin 2019</v>
      </c>
      <c r="W14" s="27" t="str">
        <f>"janv-juil " &amp; année</f>
        <v>janv-juil 2019</v>
      </c>
      <c r="X14" s="27" t="str">
        <f>"janv-août " &amp; année</f>
        <v>janv-août 2019</v>
      </c>
      <c r="Y14" s="27" t="str">
        <f>"janv-sept " &amp; année</f>
        <v>janv-sept 2019</v>
      </c>
      <c r="Z14" s="27" t="str">
        <f>"janv-oct " &amp; année</f>
        <v>janv-oct 2019</v>
      </c>
      <c r="AA14" s="27" t="str">
        <f>"janv-nov " &amp; année</f>
        <v>janv-nov 2019</v>
      </c>
      <c r="AB14" s="27" t="str">
        <f>"janv-déc " &amp; année</f>
        <v>janv-déc 2019</v>
      </c>
      <c r="AD14" s="43"/>
      <c r="AE14" s="43"/>
      <c r="AF14" s="43"/>
    </row>
    <row r="15" spans="1:32" x14ac:dyDescent="0.25">
      <c r="A15" s="7" t="s">
        <v>1</v>
      </c>
      <c r="B15" s="105">
        <f>B16+B17</f>
        <v>0</v>
      </c>
      <c r="C15" s="105">
        <f t="shared" ref="C15" si="0">C16+C17</f>
        <v>0</v>
      </c>
      <c r="D15" s="105">
        <f>D16+D17</f>
        <v>0</v>
      </c>
      <c r="E15" s="105">
        <f t="shared" ref="E15:O15" si="1">E16+E17</f>
        <v>0</v>
      </c>
      <c r="F15" s="105">
        <f t="shared" si="1"/>
        <v>0</v>
      </c>
      <c r="G15" s="105">
        <f t="shared" si="1"/>
        <v>0</v>
      </c>
      <c r="H15" s="105">
        <f t="shared" si="1"/>
        <v>0</v>
      </c>
      <c r="I15" s="105">
        <f t="shared" si="1"/>
        <v>0</v>
      </c>
      <c r="J15" s="105">
        <f t="shared" si="1"/>
        <v>0</v>
      </c>
      <c r="K15" s="105">
        <f t="shared" si="1"/>
        <v>0</v>
      </c>
      <c r="L15" s="105">
        <f t="shared" si="1"/>
        <v>0</v>
      </c>
      <c r="M15" s="105">
        <f t="shared" si="1"/>
        <v>0</v>
      </c>
      <c r="N15" s="105">
        <f t="shared" si="1"/>
        <v>0</v>
      </c>
      <c r="O15" s="105">
        <f t="shared" si="1"/>
        <v>0</v>
      </c>
      <c r="Q15" s="105" t="str">
        <f>IF(D15=0," ",D15)</f>
        <v xml:space="preserve"> </v>
      </c>
      <c r="R15" s="105" t="str">
        <f>IF(E15=0," ",AVERAGE(D15:E15))</f>
        <v xml:space="preserve"> </v>
      </c>
      <c r="S15" s="105" t="str">
        <f>IF(F15=0," ", AVERAGE(D15:F15))</f>
        <v xml:space="preserve"> </v>
      </c>
      <c r="T15" s="105" t="str">
        <f>IF(G15=0," ",AVERAGE(D15:G15))</f>
        <v xml:space="preserve"> </v>
      </c>
      <c r="U15" s="105" t="str">
        <f>IF(H15=0," ",AVERAGE(D15:H15))</f>
        <v xml:space="preserve"> </v>
      </c>
      <c r="V15" s="105" t="str">
        <f>IF(I15=0," ",AVERAGE(D15:I15))</f>
        <v xml:space="preserve"> </v>
      </c>
      <c r="W15" s="105" t="str">
        <f>IF(J15=0," ",AVERAGE(D15:J15))</f>
        <v xml:space="preserve"> </v>
      </c>
      <c r="X15" s="105" t="str">
        <f>IF(K15=0," ",AVERAGE(D15:K15))</f>
        <v xml:space="preserve"> </v>
      </c>
      <c r="Y15" s="105" t="str">
        <f>IF(L15=0," ", AVERAGE(D15:L15))</f>
        <v xml:space="preserve"> </v>
      </c>
      <c r="Z15" s="105" t="str">
        <f>IF(M15=0," ",AVERAGE(D15:M15))</f>
        <v xml:space="preserve"> </v>
      </c>
      <c r="AA15" s="105" t="str">
        <f>IF(N15=0," ",AVERAGE(D15:N15))</f>
        <v xml:space="preserve"> </v>
      </c>
      <c r="AB15" s="105" t="str">
        <f>IF(O15=0," ",AVERAGE(D15:O15))</f>
        <v xml:space="preserve"> </v>
      </c>
    </row>
    <row r="16" spans="1:32" x14ac:dyDescent="0.25">
      <c r="A16" s="125" t="s">
        <v>2</v>
      </c>
      <c r="B16" s="106"/>
      <c r="C16" s="106"/>
      <c r="D16" s="106">
        <f t="shared" ref="D16:D17" si="2">D26+D36+D45</f>
        <v>0</v>
      </c>
      <c r="E16" s="106">
        <f t="shared" ref="E16:O16" si="3">E26+E36+E45</f>
        <v>0</v>
      </c>
      <c r="F16" s="106">
        <f t="shared" si="3"/>
        <v>0</v>
      </c>
      <c r="G16" s="106">
        <f t="shared" si="3"/>
        <v>0</v>
      </c>
      <c r="H16" s="106">
        <f t="shared" si="3"/>
        <v>0</v>
      </c>
      <c r="I16" s="106">
        <f t="shared" si="3"/>
        <v>0</v>
      </c>
      <c r="J16" s="106">
        <f t="shared" si="3"/>
        <v>0</v>
      </c>
      <c r="K16" s="106">
        <f t="shared" si="3"/>
        <v>0</v>
      </c>
      <c r="L16" s="106">
        <f t="shared" si="3"/>
        <v>0</v>
      </c>
      <c r="M16" s="106">
        <f t="shared" si="3"/>
        <v>0</v>
      </c>
      <c r="N16" s="106">
        <f t="shared" si="3"/>
        <v>0</v>
      </c>
      <c r="O16" s="106">
        <f t="shared" si="3"/>
        <v>0</v>
      </c>
      <c r="Q16" s="106" t="str">
        <f t="shared" ref="Q16:Q21" si="4">IF(D16=0," ",D16)</f>
        <v xml:space="preserve"> </v>
      </c>
      <c r="R16" s="106" t="str">
        <f t="shared" ref="R16:R21" si="5">IF(E16=0," ",AVERAGE(D16:E16))</f>
        <v xml:space="preserve"> </v>
      </c>
      <c r="S16" s="106" t="str">
        <f t="shared" ref="S16:S21" si="6">IF(F16=0," ", AVERAGE(D16:F16))</f>
        <v xml:space="preserve"> </v>
      </c>
      <c r="T16" s="106" t="str">
        <f t="shared" ref="T16:T21" si="7">IF(G16=0," ",AVERAGE(D16:G16))</f>
        <v xml:space="preserve"> </v>
      </c>
      <c r="U16" s="106" t="str">
        <f t="shared" ref="U16:U21" si="8">IF(H16=0," ",AVERAGE(D16:H16))</f>
        <v xml:space="preserve"> </v>
      </c>
      <c r="V16" s="106" t="str">
        <f t="shared" ref="V16:V21" si="9">IF(I16=0," ",AVERAGE(D16:I16))</f>
        <v xml:space="preserve"> </v>
      </c>
      <c r="W16" s="106" t="str">
        <f t="shared" ref="W16:W21" si="10">IF(J16=0," ",AVERAGE(D16:J16))</f>
        <v xml:space="preserve"> </v>
      </c>
      <c r="X16" s="106" t="str">
        <f t="shared" ref="X16:X21" si="11">IF(K16=0," ",AVERAGE(D16:K16))</f>
        <v xml:space="preserve"> </v>
      </c>
      <c r="Y16" s="106" t="str">
        <f t="shared" ref="Y16:Y21" si="12">IF(L16=0," ", AVERAGE(D16:L16))</f>
        <v xml:space="preserve"> </v>
      </c>
      <c r="Z16" s="106" t="str">
        <f t="shared" ref="Z16:Z21" si="13">IF(M16=0," ",AVERAGE(D16:M16))</f>
        <v xml:space="preserve"> </v>
      </c>
      <c r="AA16" s="106" t="str">
        <f t="shared" ref="AA16:AA21" si="14">IF(N16=0," ",AVERAGE(D16:N16))</f>
        <v xml:space="preserve"> </v>
      </c>
      <c r="AB16" s="106" t="str">
        <f t="shared" ref="AB16:AB21" si="15">IF(O16=0," ",AVERAGE(D16:O16))</f>
        <v xml:space="preserve"> </v>
      </c>
    </row>
    <row r="17" spans="1:31" x14ac:dyDescent="0.25">
      <c r="A17" s="125" t="s">
        <v>3</v>
      </c>
      <c r="B17" s="106"/>
      <c r="C17" s="106"/>
      <c r="D17" s="106">
        <f t="shared" si="2"/>
        <v>0</v>
      </c>
      <c r="E17" s="106">
        <f t="shared" ref="E17:O17" si="16">E27+E37+E46</f>
        <v>0</v>
      </c>
      <c r="F17" s="106">
        <f t="shared" si="16"/>
        <v>0</v>
      </c>
      <c r="G17" s="106">
        <f t="shared" si="16"/>
        <v>0</v>
      </c>
      <c r="H17" s="106">
        <f t="shared" si="16"/>
        <v>0</v>
      </c>
      <c r="I17" s="106">
        <f t="shared" si="16"/>
        <v>0</v>
      </c>
      <c r="J17" s="106">
        <f t="shared" si="16"/>
        <v>0</v>
      </c>
      <c r="K17" s="106">
        <f t="shared" si="16"/>
        <v>0</v>
      </c>
      <c r="L17" s="106">
        <f t="shared" si="16"/>
        <v>0</v>
      </c>
      <c r="M17" s="106">
        <f t="shared" si="16"/>
        <v>0</v>
      </c>
      <c r="N17" s="106">
        <f t="shared" si="16"/>
        <v>0</v>
      </c>
      <c r="O17" s="106">
        <f t="shared" si="16"/>
        <v>0</v>
      </c>
      <c r="Q17" s="106" t="str">
        <f t="shared" si="4"/>
        <v xml:space="preserve"> </v>
      </c>
      <c r="R17" s="106" t="str">
        <f t="shared" si="5"/>
        <v xml:space="preserve"> </v>
      </c>
      <c r="S17" s="106" t="str">
        <f t="shared" si="6"/>
        <v xml:space="preserve"> </v>
      </c>
      <c r="T17" s="106" t="str">
        <f t="shared" si="7"/>
        <v xml:space="preserve"> </v>
      </c>
      <c r="U17" s="106" t="str">
        <f t="shared" si="8"/>
        <v xml:space="preserve"> </v>
      </c>
      <c r="V17" s="106" t="str">
        <f t="shared" si="9"/>
        <v xml:space="preserve"> </v>
      </c>
      <c r="W17" s="106" t="str">
        <f t="shared" si="10"/>
        <v xml:space="preserve"> </v>
      </c>
      <c r="X17" s="106" t="str">
        <f t="shared" si="11"/>
        <v xml:space="preserve"> </v>
      </c>
      <c r="Y17" s="106" t="str">
        <f t="shared" si="12"/>
        <v xml:space="preserve"> </v>
      </c>
      <c r="Z17" s="106" t="str">
        <f t="shared" si="13"/>
        <v xml:space="preserve"> </v>
      </c>
      <c r="AA17" s="106" t="str">
        <f t="shared" si="14"/>
        <v xml:space="preserve"> </v>
      </c>
      <c r="AB17" s="106" t="str">
        <f t="shared" si="15"/>
        <v xml:space="preserve"> </v>
      </c>
    </row>
    <row r="18" spans="1:31" x14ac:dyDescent="0.25">
      <c r="A18" s="7" t="s">
        <v>110</v>
      </c>
      <c r="B18" s="105">
        <f t="shared" ref="B18:C18" si="17">B19+B20</f>
        <v>0</v>
      </c>
      <c r="C18" s="105">
        <f t="shared" si="17"/>
        <v>0</v>
      </c>
      <c r="D18" s="105">
        <f>D19+D20</f>
        <v>0</v>
      </c>
      <c r="E18" s="105">
        <f t="shared" ref="E18:O18" si="18">E19+E20</f>
        <v>0</v>
      </c>
      <c r="F18" s="105">
        <f t="shared" si="18"/>
        <v>0</v>
      </c>
      <c r="G18" s="105">
        <f t="shared" si="18"/>
        <v>0</v>
      </c>
      <c r="H18" s="105">
        <f t="shared" si="18"/>
        <v>0</v>
      </c>
      <c r="I18" s="105">
        <f t="shared" si="18"/>
        <v>0</v>
      </c>
      <c r="J18" s="105">
        <f t="shared" si="18"/>
        <v>0</v>
      </c>
      <c r="K18" s="105">
        <f t="shared" si="18"/>
        <v>0</v>
      </c>
      <c r="L18" s="105">
        <f t="shared" si="18"/>
        <v>0</v>
      </c>
      <c r="M18" s="105">
        <f t="shared" si="18"/>
        <v>0</v>
      </c>
      <c r="N18" s="105">
        <f t="shared" si="18"/>
        <v>0</v>
      </c>
      <c r="O18" s="105">
        <f t="shared" si="18"/>
        <v>0</v>
      </c>
      <c r="Q18" s="105" t="str">
        <f t="shared" si="4"/>
        <v xml:space="preserve"> </v>
      </c>
      <c r="R18" s="105" t="str">
        <f t="shared" si="5"/>
        <v xml:space="preserve"> </v>
      </c>
      <c r="S18" s="105" t="str">
        <f t="shared" si="6"/>
        <v xml:space="preserve"> </v>
      </c>
      <c r="T18" s="105" t="str">
        <f t="shared" si="7"/>
        <v xml:space="preserve"> </v>
      </c>
      <c r="U18" s="105" t="str">
        <f t="shared" si="8"/>
        <v xml:space="preserve"> </v>
      </c>
      <c r="V18" s="105" t="str">
        <f t="shared" si="9"/>
        <v xml:space="preserve"> </v>
      </c>
      <c r="W18" s="105" t="str">
        <f t="shared" si="10"/>
        <v xml:space="preserve"> </v>
      </c>
      <c r="X18" s="105" t="str">
        <f t="shared" si="11"/>
        <v xml:space="preserve"> </v>
      </c>
      <c r="Y18" s="105" t="str">
        <f t="shared" si="12"/>
        <v xml:space="preserve"> </v>
      </c>
      <c r="Z18" s="105" t="str">
        <f t="shared" si="13"/>
        <v xml:space="preserve"> </v>
      </c>
      <c r="AA18" s="105" t="str">
        <f t="shared" si="14"/>
        <v xml:space="preserve"> </v>
      </c>
      <c r="AB18" s="105" t="str">
        <f t="shared" si="15"/>
        <v xml:space="preserve"> </v>
      </c>
    </row>
    <row r="19" spans="1:31" x14ac:dyDescent="0.25">
      <c r="A19" s="125" t="s">
        <v>2</v>
      </c>
      <c r="B19" s="106"/>
      <c r="C19" s="106"/>
      <c r="D19" s="106">
        <f>D30+D39+D48</f>
        <v>0</v>
      </c>
      <c r="E19" s="106">
        <f t="shared" ref="E19:O19" si="19">E30+E39+E48</f>
        <v>0</v>
      </c>
      <c r="F19" s="106">
        <f t="shared" si="19"/>
        <v>0</v>
      </c>
      <c r="G19" s="106">
        <f t="shared" si="19"/>
        <v>0</v>
      </c>
      <c r="H19" s="106">
        <f t="shared" si="19"/>
        <v>0</v>
      </c>
      <c r="I19" s="106">
        <f t="shared" si="19"/>
        <v>0</v>
      </c>
      <c r="J19" s="106">
        <f t="shared" si="19"/>
        <v>0</v>
      </c>
      <c r="K19" s="106">
        <f t="shared" si="19"/>
        <v>0</v>
      </c>
      <c r="L19" s="106">
        <f t="shared" si="19"/>
        <v>0</v>
      </c>
      <c r="M19" s="106">
        <f t="shared" si="19"/>
        <v>0</v>
      </c>
      <c r="N19" s="106">
        <f t="shared" si="19"/>
        <v>0</v>
      </c>
      <c r="O19" s="106">
        <f t="shared" si="19"/>
        <v>0</v>
      </c>
      <c r="Q19" s="106" t="str">
        <f t="shared" si="4"/>
        <v xml:space="preserve"> </v>
      </c>
      <c r="R19" s="106" t="str">
        <f t="shared" si="5"/>
        <v xml:space="preserve"> </v>
      </c>
      <c r="S19" s="106" t="str">
        <f t="shared" si="6"/>
        <v xml:space="preserve"> </v>
      </c>
      <c r="T19" s="106" t="str">
        <f t="shared" si="7"/>
        <v xml:space="preserve"> </v>
      </c>
      <c r="U19" s="106" t="str">
        <f t="shared" si="8"/>
        <v xml:space="preserve"> </v>
      </c>
      <c r="V19" s="106" t="str">
        <f t="shared" si="9"/>
        <v xml:space="preserve"> </v>
      </c>
      <c r="W19" s="106" t="str">
        <f t="shared" si="10"/>
        <v xml:space="preserve"> </v>
      </c>
      <c r="X19" s="106" t="str">
        <f t="shared" si="11"/>
        <v xml:space="preserve"> </v>
      </c>
      <c r="Y19" s="106" t="str">
        <f t="shared" si="12"/>
        <v xml:space="preserve"> </v>
      </c>
      <c r="Z19" s="106" t="str">
        <f t="shared" si="13"/>
        <v xml:space="preserve"> </v>
      </c>
      <c r="AA19" s="106" t="str">
        <f t="shared" si="14"/>
        <v xml:space="preserve"> </v>
      </c>
      <c r="AB19" s="106" t="str">
        <f t="shared" si="15"/>
        <v xml:space="preserve"> </v>
      </c>
    </row>
    <row r="20" spans="1:31" x14ac:dyDescent="0.25">
      <c r="A20" s="125" t="s">
        <v>3</v>
      </c>
      <c r="B20" s="106"/>
      <c r="C20" s="106"/>
      <c r="D20" s="106">
        <f>D31+D40+D49</f>
        <v>0</v>
      </c>
      <c r="E20" s="106">
        <f t="shared" ref="E20:O20" si="20">E31+E40+E49</f>
        <v>0</v>
      </c>
      <c r="F20" s="106">
        <f t="shared" si="20"/>
        <v>0</v>
      </c>
      <c r="G20" s="106">
        <f t="shared" si="20"/>
        <v>0</v>
      </c>
      <c r="H20" s="106">
        <f t="shared" si="20"/>
        <v>0</v>
      </c>
      <c r="I20" s="106">
        <f t="shared" si="20"/>
        <v>0</v>
      </c>
      <c r="J20" s="106">
        <f t="shared" si="20"/>
        <v>0</v>
      </c>
      <c r="K20" s="106">
        <f t="shared" si="20"/>
        <v>0</v>
      </c>
      <c r="L20" s="106">
        <f t="shared" si="20"/>
        <v>0</v>
      </c>
      <c r="M20" s="106">
        <f t="shared" si="20"/>
        <v>0</v>
      </c>
      <c r="N20" s="106">
        <f t="shared" si="20"/>
        <v>0</v>
      </c>
      <c r="O20" s="106">
        <f t="shared" si="20"/>
        <v>0</v>
      </c>
      <c r="Q20" s="106" t="str">
        <f t="shared" si="4"/>
        <v xml:space="preserve"> </v>
      </c>
      <c r="R20" s="106" t="str">
        <f t="shared" si="5"/>
        <v xml:space="preserve"> </v>
      </c>
      <c r="S20" s="106" t="str">
        <f t="shared" si="6"/>
        <v xml:space="preserve"> </v>
      </c>
      <c r="T20" s="106" t="str">
        <f t="shared" si="7"/>
        <v xml:space="preserve"> </v>
      </c>
      <c r="U20" s="106" t="str">
        <f t="shared" si="8"/>
        <v xml:space="preserve"> </v>
      </c>
      <c r="V20" s="106" t="str">
        <f t="shared" si="9"/>
        <v xml:space="preserve"> </v>
      </c>
      <c r="W20" s="106" t="str">
        <f t="shared" si="10"/>
        <v xml:space="preserve"> </v>
      </c>
      <c r="X20" s="106" t="str">
        <f t="shared" si="11"/>
        <v xml:space="preserve"> </v>
      </c>
      <c r="Y20" s="106" t="str">
        <f t="shared" si="12"/>
        <v xml:space="preserve"> </v>
      </c>
      <c r="Z20" s="106" t="str">
        <f t="shared" si="13"/>
        <v xml:space="preserve"> </v>
      </c>
      <c r="AA20" s="106" t="str">
        <f t="shared" si="14"/>
        <v xml:space="preserve"> </v>
      </c>
      <c r="AB20" s="106" t="str">
        <f t="shared" si="15"/>
        <v xml:space="preserve"> </v>
      </c>
    </row>
    <row r="21" spans="1:31" x14ac:dyDescent="0.25">
      <c r="A21" s="7" t="s">
        <v>6</v>
      </c>
      <c r="B21" s="105">
        <f>B18+B15</f>
        <v>0</v>
      </c>
      <c r="C21" s="105">
        <f t="shared" ref="C21:O21" si="21">C18+C15</f>
        <v>0</v>
      </c>
      <c r="D21" s="105">
        <f>D18+D15</f>
        <v>0</v>
      </c>
      <c r="E21" s="105">
        <f t="shared" si="21"/>
        <v>0</v>
      </c>
      <c r="F21" s="105">
        <f t="shared" si="21"/>
        <v>0</v>
      </c>
      <c r="G21" s="105">
        <f t="shared" si="21"/>
        <v>0</v>
      </c>
      <c r="H21" s="105">
        <f t="shared" si="21"/>
        <v>0</v>
      </c>
      <c r="I21" s="105">
        <f t="shared" si="21"/>
        <v>0</v>
      </c>
      <c r="J21" s="105">
        <f t="shared" si="21"/>
        <v>0</v>
      </c>
      <c r="K21" s="105">
        <f t="shared" si="21"/>
        <v>0</v>
      </c>
      <c r="L21" s="105">
        <f t="shared" si="21"/>
        <v>0</v>
      </c>
      <c r="M21" s="105">
        <f t="shared" si="21"/>
        <v>0</v>
      </c>
      <c r="N21" s="105">
        <f t="shared" si="21"/>
        <v>0</v>
      </c>
      <c r="O21" s="105">
        <f t="shared" si="21"/>
        <v>0</v>
      </c>
      <c r="Q21" s="105" t="str">
        <f t="shared" si="4"/>
        <v xml:space="preserve"> </v>
      </c>
      <c r="R21" s="105" t="str">
        <f t="shared" si="5"/>
        <v xml:space="preserve"> </v>
      </c>
      <c r="S21" s="105" t="str">
        <f t="shared" si="6"/>
        <v xml:space="preserve"> </v>
      </c>
      <c r="T21" s="105" t="str">
        <f t="shared" si="7"/>
        <v xml:space="preserve"> </v>
      </c>
      <c r="U21" s="105" t="str">
        <f t="shared" si="8"/>
        <v xml:space="preserve"> </v>
      </c>
      <c r="V21" s="105" t="str">
        <f t="shared" si="9"/>
        <v xml:space="preserve"> </v>
      </c>
      <c r="W21" s="105" t="str">
        <f t="shared" si="10"/>
        <v xml:space="preserve"> </v>
      </c>
      <c r="X21" s="105" t="str">
        <f t="shared" si="11"/>
        <v xml:space="preserve"> </v>
      </c>
      <c r="Y21" s="105" t="str">
        <f t="shared" si="12"/>
        <v xml:space="preserve"> </v>
      </c>
      <c r="Z21" s="105" t="str">
        <f t="shared" si="13"/>
        <v xml:space="preserve"> </v>
      </c>
      <c r="AA21" s="105" t="str">
        <f t="shared" si="14"/>
        <v xml:space="preserve"> </v>
      </c>
      <c r="AB21" s="105" t="str">
        <f t="shared" si="15"/>
        <v xml:space="preserve"> </v>
      </c>
    </row>
    <row r="22" spans="1:31" x14ac:dyDescent="0.25">
      <c r="A22" s="8"/>
      <c r="B22" s="9"/>
      <c r="C22" s="9"/>
      <c r="R22" s="43"/>
      <c r="S22" s="43"/>
      <c r="T22" s="43"/>
      <c r="U22" s="43"/>
      <c r="V22" s="43"/>
      <c r="W22" s="43"/>
      <c r="X22" s="43"/>
      <c r="Y22" s="43"/>
      <c r="Z22" s="43"/>
      <c r="AA22" s="43"/>
      <c r="AB22" s="43"/>
    </row>
    <row r="23" spans="1:31" ht="36" customHeight="1" x14ac:dyDescent="0.25">
      <c r="A23" s="10" t="s">
        <v>35</v>
      </c>
      <c r="B23" s="44">
        <f t="shared" ref="B23:O23" si="22">B14</f>
        <v>2017</v>
      </c>
      <c r="C23" s="44">
        <f t="shared" si="22"/>
        <v>2018</v>
      </c>
      <c r="D23" s="11" t="str">
        <f t="shared" si="22"/>
        <v>janv 2019</v>
      </c>
      <c r="E23" s="11" t="str">
        <f t="shared" si="22"/>
        <v>fév 2019</v>
      </c>
      <c r="F23" s="11" t="str">
        <f t="shared" si="22"/>
        <v>mars 2019</v>
      </c>
      <c r="G23" s="11" t="str">
        <f t="shared" si="22"/>
        <v>avril 2019</v>
      </c>
      <c r="H23" s="11" t="str">
        <f t="shared" si="22"/>
        <v>mai 2019</v>
      </c>
      <c r="I23" s="11" t="str">
        <f t="shared" si="22"/>
        <v>juin 2019</v>
      </c>
      <c r="J23" s="11" t="str">
        <f t="shared" si="22"/>
        <v>juil 2019</v>
      </c>
      <c r="K23" s="11" t="str">
        <f t="shared" si="22"/>
        <v>août 2019</v>
      </c>
      <c r="L23" s="11" t="str">
        <f t="shared" si="22"/>
        <v>sept 2019</v>
      </c>
      <c r="M23" s="11" t="str">
        <f t="shared" si="22"/>
        <v>oct 2019</v>
      </c>
      <c r="N23" s="11" t="str">
        <f t="shared" si="22"/>
        <v>nov 2019</v>
      </c>
      <c r="O23" s="11" t="str">
        <f t="shared" si="22"/>
        <v>déc 2019</v>
      </c>
      <c r="Q23" s="11" t="str">
        <f>Q14</f>
        <v>janv 2019</v>
      </c>
      <c r="R23" s="11" t="str">
        <f>R14</f>
        <v>janv-fév 2019</v>
      </c>
      <c r="S23" s="11" t="str">
        <f t="shared" ref="S23:AB23" si="23">S14</f>
        <v>janv-mars 2019</v>
      </c>
      <c r="T23" s="11" t="str">
        <f t="shared" si="23"/>
        <v>janv-avril 2019</v>
      </c>
      <c r="U23" s="11" t="str">
        <f t="shared" si="23"/>
        <v>janv-mai 2019</v>
      </c>
      <c r="V23" s="11" t="str">
        <f t="shared" si="23"/>
        <v>janv-juin 2019</v>
      </c>
      <c r="W23" s="11" t="str">
        <f t="shared" si="23"/>
        <v>janv-juil 2019</v>
      </c>
      <c r="X23" s="11" t="str">
        <f t="shared" si="23"/>
        <v>janv-août 2019</v>
      </c>
      <c r="Y23" s="11" t="str">
        <f t="shared" si="23"/>
        <v>janv-sept 2019</v>
      </c>
      <c r="Z23" s="11" t="str">
        <f t="shared" si="23"/>
        <v>janv-oct 2019</v>
      </c>
      <c r="AA23" s="11" t="str">
        <f t="shared" si="23"/>
        <v>janv-nov 2019</v>
      </c>
      <c r="AB23" s="11" t="str">
        <f t="shared" si="23"/>
        <v>janv-déc 2019</v>
      </c>
    </row>
    <row r="24" spans="1:31" x14ac:dyDescent="0.25">
      <c r="A24" s="7" t="s">
        <v>1</v>
      </c>
      <c r="B24" s="105">
        <f t="shared" ref="B24:C24" si="24">B26+B27</f>
        <v>0</v>
      </c>
      <c r="C24" s="105">
        <f t="shared" si="24"/>
        <v>0</v>
      </c>
      <c r="D24" s="105" t="e">
        <f>IF(D26+D27=0, #N/A, D26+D27)</f>
        <v>#N/A</v>
      </c>
      <c r="E24" s="105" t="e">
        <f t="shared" ref="E24:O24" si="25">IF(E26+E27=0, #N/A, E26+E27)</f>
        <v>#N/A</v>
      </c>
      <c r="F24" s="105" t="e">
        <f t="shared" si="25"/>
        <v>#N/A</v>
      </c>
      <c r="G24" s="105" t="e">
        <f t="shared" si="25"/>
        <v>#N/A</v>
      </c>
      <c r="H24" s="105" t="e">
        <f>IF(H26+H27=0, #N/A, H26+H27)</f>
        <v>#N/A</v>
      </c>
      <c r="I24" s="105" t="e">
        <f t="shared" si="25"/>
        <v>#N/A</v>
      </c>
      <c r="J24" s="105" t="e">
        <f t="shared" si="25"/>
        <v>#N/A</v>
      </c>
      <c r="K24" s="105" t="e">
        <f t="shared" si="25"/>
        <v>#N/A</v>
      </c>
      <c r="L24" s="105" t="e">
        <f t="shared" si="25"/>
        <v>#N/A</v>
      </c>
      <c r="M24" s="105" t="e">
        <f t="shared" si="25"/>
        <v>#N/A</v>
      </c>
      <c r="N24" s="105" t="e">
        <f t="shared" si="25"/>
        <v>#N/A</v>
      </c>
      <c r="O24" s="105" t="e">
        <f t="shared" si="25"/>
        <v>#N/A</v>
      </c>
      <c r="Q24" s="105" t="e">
        <f>IF(D24=0,#N/A,D24)</f>
        <v>#N/A</v>
      </c>
      <c r="R24" s="105" t="e">
        <f>IF(E24=0,#N/A,AVERAGE(D24:E24))</f>
        <v>#N/A</v>
      </c>
      <c r="S24" s="105" t="e">
        <f>IF(F24=0,#N/A,AVERAGE(D24:F24))</f>
        <v>#N/A</v>
      </c>
      <c r="T24" s="105" t="e">
        <f>IF(G24=0,#N/A,AVERAGE(D24:G24))</f>
        <v>#N/A</v>
      </c>
      <c r="U24" s="105" t="e">
        <f>IF(H24=0,#N/A,AVERAGE(D24:H24))</f>
        <v>#N/A</v>
      </c>
      <c r="V24" s="105" t="e">
        <f>IF(I24=0,#N/A, AVERAGE(D24:I24))</f>
        <v>#N/A</v>
      </c>
      <c r="W24" s="105" t="e">
        <f>IF(J24=0,#N/A,AVERAGE(D24:J24))</f>
        <v>#N/A</v>
      </c>
      <c r="X24" s="105" t="e">
        <f>IF(K24=0,#N/A,AVERAGE(D24:K24))</f>
        <v>#N/A</v>
      </c>
      <c r="Y24" s="105" t="e">
        <f>IF(L24=0,#N/A,AVERAGE(D24:L24))</f>
        <v>#N/A</v>
      </c>
      <c r="Z24" s="105" t="e">
        <f>IF(M24=0,#N/A,AVERAGE(D24:M24))</f>
        <v>#N/A</v>
      </c>
      <c r="AA24" s="105" t="e">
        <f>IF(N24=0,#N/A, AVERAGE(D24:N24))</f>
        <v>#N/A</v>
      </c>
      <c r="AB24" s="105" t="e">
        <f>IF(O24=0,#N/A,AVERAGE(D24:O24))</f>
        <v>#N/A</v>
      </c>
    </row>
    <row r="25" spans="1:31" s="131" customFormat="1" x14ac:dyDescent="0.25">
      <c r="A25" s="128" t="s">
        <v>109</v>
      </c>
      <c r="B25" s="129"/>
      <c r="C25" s="129"/>
      <c r="D25" s="130"/>
      <c r="E25" s="130"/>
      <c r="F25" s="130"/>
      <c r="G25" s="130"/>
      <c r="H25" s="130"/>
      <c r="I25" s="130"/>
      <c r="J25" s="130"/>
      <c r="K25" s="130"/>
      <c r="L25" s="130"/>
      <c r="M25" s="130"/>
      <c r="N25" s="130"/>
      <c r="O25" s="130"/>
      <c r="Q25" s="132" t="e">
        <f t="shared" ref="Q25:Q32" si="26">IF(D25=0,#N/A,D25)</f>
        <v>#N/A</v>
      </c>
      <c r="R25" s="132" t="e">
        <f t="shared" ref="R25:R32" si="27">IF(E25=0,#N/A,AVERAGE(D25:E25))</f>
        <v>#N/A</v>
      </c>
      <c r="S25" s="132" t="e">
        <f t="shared" ref="S25:S32" si="28">IF(F25=0,#N/A,AVERAGE(D25:F25))</f>
        <v>#N/A</v>
      </c>
      <c r="T25" s="132" t="e">
        <f t="shared" ref="T25:T32" si="29">IF(G25=0,#N/A,AVERAGE(D25:G25))</f>
        <v>#N/A</v>
      </c>
      <c r="U25" s="132" t="e">
        <f t="shared" ref="U25:U32" si="30">IF(H25=0,#N/A,AVERAGE(D25:H25))</f>
        <v>#N/A</v>
      </c>
      <c r="V25" s="132" t="e">
        <f t="shared" ref="V25:V32" si="31">IF(I25=0,#N/A, AVERAGE(D25:I25))</f>
        <v>#N/A</v>
      </c>
      <c r="W25" s="132" t="e">
        <f t="shared" ref="W25:W32" si="32">IF(J25=0,#N/A,AVERAGE(D25:J25))</f>
        <v>#N/A</v>
      </c>
      <c r="X25" s="132" t="e">
        <f t="shared" ref="X25:X32" si="33">IF(K25=0,#N/A,AVERAGE(D25:K25))</f>
        <v>#N/A</v>
      </c>
      <c r="Y25" s="132" t="e">
        <f t="shared" ref="Y25:Y32" si="34">IF(L25=0,#N/A,AVERAGE(D25:L25))</f>
        <v>#N/A</v>
      </c>
      <c r="Z25" s="132" t="e">
        <f t="shared" ref="Z25:Z32" si="35">IF(M25=0,#N/A,AVERAGE(D25:M25))</f>
        <v>#N/A</v>
      </c>
      <c r="AA25" s="132" t="e">
        <f t="shared" ref="AA25:AA32" si="36">IF(N25=0,#N/A, AVERAGE(D25:N25))</f>
        <v>#N/A</v>
      </c>
      <c r="AB25" s="132" t="e">
        <f t="shared" ref="AB25:AB32" si="37">IF(O25=0,#N/A,AVERAGE(D25:O25))</f>
        <v>#N/A</v>
      </c>
      <c r="AC25" s="133"/>
      <c r="AD25" s="133"/>
      <c r="AE25" s="133"/>
    </row>
    <row r="26" spans="1:31" x14ac:dyDescent="0.25">
      <c r="A26" s="125" t="s">
        <v>2</v>
      </c>
      <c r="B26" s="107"/>
      <c r="C26" s="107"/>
      <c r="D26" s="107"/>
      <c r="E26" s="107"/>
      <c r="F26" s="107"/>
      <c r="G26" s="107"/>
      <c r="H26" s="107"/>
      <c r="I26" s="107"/>
      <c r="J26" s="107"/>
      <c r="K26" s="107"/>
      <c r="L26" s="107"/>
      <c r="M26" s="107"/>
      <c r="N26" s="107"/>
      <c r="O26" s="107"/>
      <c r="Q26" s="106" t="e">
        <f t="shared" si="26"/>
        <v>#N/A</v>
      </c>
      <c r="R26" s="106" t="e">
        <f t="shared" si="27"/>
        <v>#N/A</v>
      </c>
      <c r="S26" s="106" t="e">
        <f t="shared" si="28"/>
        <v>#N/A</v>
      </c>
      <c r="T26" s="106" t="e">
        <f t="shared" si="29"/>
        <v>#N/A</v>
      </c>
      <c r="U26" s="106" t="e">
        <f t="shared" si="30"/>
        <v>#N/A</v>
      </c>
      <c r="V26" s="106" t="e">
        <f t="shared" si="31"/>
        <v>#N/A</v>
      </c>
      <c r="W26" s="106" t="e">
        <f t="shared" si="32"/>
        <v>#N/A</v>
      </c>
      <c r="X26" s="106" t="e">
        <f t="shared" si="33"/>
        <v>#N/A</v>
      </c>
      <c r="Y26" s="106" t="e">
        <f t="shared" si="34"/>
        <v>#N/A</v>
      </c>
      <c r="Z26" s="106" t="e">
        <f t="shared" si="35"/>
        <v>#N/A</v>
      </c>
      <c r="AA26" s="106" t="e">
        <f t="shared" si="36"/>
        <v>#N/A</v>
      </c>
      <c r="AB26" s="106" t="e">
        <f t="shared" si="37"/>
        <v>#N/A</v>
      </c>
    </row>
    <row r="27" spans="1:31" x14ac:dyDescent="0.25">
      <c r="A27" s="125" t="s">
        <v>3</v>
      </c>
      <c r="B27" s="107"/>
      <c r="C27" s="107"/>
      <c r="D27" s="107"/>
      <c r="E27" s="107"/>
      <c r="F27" s="107"/>
      <c r="G27" s="107"/>
      <c r="H27" s="107"/>
      <c r="I27" s="107"/>
      <c r="J27" s="107"/>
      <c r="K27" s="107"/>
      <c r="L27" s="107"/>
      <c r="M27" s="107"/>
      <c r="N27" s="107"/>
      <c r="O27" s="107"/>
      <c r="Q27" s="106" t="e">
        <f t="shared" si="26"/>
        <v>#N/A</v>
      </c>
      <c r="R27" s="106" t="e">
        <f t="shared" si="27"/>
        <v>#N/A</v>
      </c>
      <c r="S27" s="106" t="e">
        <f t="shared" si="28"/>
        <v>#N/A</v>
      </c>
      <c r="T27" s="106" t="e">
        <f t="shared" si="29"/>
        <v>#N/A</v>
      </c>
      <c r="U27" s="106" t="e">
        <f t="shared" si="30"/>
        <v>#N/A</v>
      </c>
      <c r="V27" s="106" t="e">
        <f t="shared" si="31"/>
        <v>#N/A</v>
      </c>
      <c r="W27" s="106" t="e">
        <f t="shared" si="32"/>
        <v>#N/A</v>
      </c>
      <c r="X27" s="106" t="e">
        <f t="shared" si="33"/>
        <v>#N/A</v>
      </c>
      <c r="Y27" s="106" t="e">
        <f t="shared" si="34"/>
        <v>#N/A</v>
      </c>
      <c r="Z27" s="106" t="e">
        <f t="shared" si="35"/>
        <v>#N/A</v>
      </c>
      <c r="AA27" s="106" t="e">
        <f t="shared" si="36"/>
        <v>#N/A</v>
      </c>
      <c r="AB27" s="106" t="e">
        <f t="shared" si="37"/>
        <v>#N/A</v>
      </c>
    </row>
    <row r="28" spans="1:31" x14ac:dyDescent="0.25">
      <c r="A28" s="7" t="s">
        <v>110</v>
      </c>
      <c r="B28" s="105">
        <f>B30+B31</f>
        <v>0</v>
      </c>
      <c r="C28" s="105">
        <f t="shared" ref="C28" si="38">C30+C31</f>
        <v>0</v>
      </c>
      <c r="D28" s="105" t="e">
        <f>IF(D30+D31=0, #N/A, D30+D31)</f>
        <v>#N/A</v>
      </c>
      <c r="E28" s="105" t="e">
        <f t="shared" ref="E28:O28" si="39">IF(E30+E31=0, #N/A, E30+E31)</f>
        <v>#N/A</v>
      </c>
      <c r="F28" s="105" t="e">
        <f t="shared" si="39"/>
        <v>#N/A</v>
      </c>
      <c r="G28" s="105" t="e">
        <f t="shared" si="39"/>
        <v>#N/A</v>
      </c>
      <c r="H28" s="105" t="e">
        <f t="shared" si="39"/>
        <v>#N/A</v>
      </c>
      <c r="I28" s="105" t="e">
        <f t="shared" si="39"/>
        <v>#N/A</v>
      </c>
      <c r="J28" s="105" t="e">
        <f t="shared" si="39"/>
        <v>#N/A</v>
      </c>
      <c r="K28" s="105" t="e">
        <f t="shared" si="39"/>
        <v>#N/A</v>
      </c>
      <c r="L28" s="105" t="e">
        <f t="shared" si="39"/>
        <v>#N/A</v>
      </c>
      <c r="M28" s="105" t="e">
        <f t="shared" si="39"/>
        <v>#N/A</v>
      </c>
      <c r="N28" s="105" t="e">
        <f t="shared" si="39"/>
        <v>#N/A</v>
      </c>
      <c r="O28" s="105" t="e">
        <f t="shared" si="39"/>
        <v>#N/A</v>
      </c>
      <c r="Q28" s="105" t="e">
        <f t="shared" si="26"/>
        <v>#N/A</v>
      </c>
      <c r="R28" s="105" t="e">
        <f t="shared" si="27"/>
        <v>#N/A</v>
      </c>
      <c r="S28" s="105" t="e">
        <f t="shared" si="28"/>
        <v>#N/A</v>
      </c>
      <c r="T28" s="105" t="e">
        <f t="shared" si="29"/>
        <v>#N/A</v>
      </c>
      <c r="U28" s="105" t="e">
        <f t="shared" si="30"/>
        <v>#N/A</v>
      </c>
      <c r="V28" s="105" t="e">
        <f t="shared" si="31"/>
        <v>#N/A</v>
      </c>
      <c r="W28" s="105" t="e">
        <f t="shared" si="32"/>
        <v>#N/A</v>
      </c>
      <c r="X28" s="105" t="e">
        <f t="shared" si="33"/>
        <v>#N/A</v>
      </c>
      <c r="Y28" s="105" t="e">
        <f t="shared" si="34"/>
        <v>#N/A</v>
      </c>
      <c r="Z28" s="105" t="e">
        <f t="shared" si="35"/>
        <v>#N/A</v>
      </c>
      <c r="AA28" s="105" t="e">
        <f t="shared" si="36"/>
        <v>#N/A</v>
      </c>
      <c r="AB28" s="105" t="e">
        <f t="shared" si="37"/>
        <v>#N/A</v>
      </c>
    </row>
    <row r="29" spans="1:31" s="131" customFormat="1" x14ac:dyDescent="0.25">
      <c r="A29" s="128" t="s">
        <v>108</v>
      </c>
      <c r="B29" s="134"/>
      <c r="C29" s="134"/>
      <c r="D29" s="135"/>
      <c r="E29" s="135"/>
      <c r="F29" s="135"/>
      <c r="G29" s="135"/>
      <c r="H29" s="135"/>
      <c r="I29" s="135"/>
      <c r="J29" s="135"/>
      <c r="K29" s="135"/>
      <c r="L29" s="135"/>
      <c r="M29" s="135"/>
      <c r="N29" s="135"/>
      <c r="O29" s="135"/>
      <c r="Q29" s="136" t="e">
        <f t="shared" si="26"/>
        <v>#N/A</v>
      </c>
      <c r="R29" s="136" t="e">
        <f t="shared" si="27"/>
        <v>#N/A</v>
      </c>
      <c r="S29" s="136" t="e">
        <f t="shared" si="28"/>
        <v>#N/A</v>
      </c>
      <c r="T29" s="136" t="e">
        <f t="shared" si="29"/>
        <v>#N/A</v>
      </c>
      <c r="U29" s="136" t="e">
        <f t="shared" si="30"/>
        <v>#N/A</v>
      </c>
      <c r="V29" s="136" t="e">
        <f t="shared" si="31"/>
        <v>#N/A</v>
      </c>
      <c r="W29" s="136" t="e">
        <f t="shared" si="32"/>
        <v>#N/A</v>
      </c>
      <c r="X29" s="136" t="e">
        <f t="shared" si="33"/>
        <v>#N/A</v>
      </c>
      <c r="Y29" s="136" t="e">
        <f t="shared" si="34"/>
        <v>#N/A</v>
      </c>
      <c r="Z29" s="136" t="e">
        <f t="shared" si="35"/>
        <v>#N/A</v>
      </c>
      <c r="AA29" s="136" t="e">
        <f t="shared" si="36"/>
        <v>#N/A</v>
      </c>
      <c r="AB29" s="136" t="e">
        <f t="shared" si="37"/>
        <v>#N/A</v>
      </c>
      <c r="AC29" s="133"/>
      <c r="AD29" s="133"/>
      <c r="AE29" s="133"/>
    </row>
    <row r="30" spans="1:31" x14ac:dyDescent="0.25">
      <c r="A30" s="125" t="s">
        <v>2</v>
      </c>
      <c r="B30" s="107"/>
      <c r="C30" s="107"/>
      <c r="D30" s="107"/>
      <c r="E30" s="107"/>
      <c r="F30" s="107"/>
      <c r="G30" s="107"/>
      <c r="H30" s="107"/>
      <c r="I30" s="107"/>
      <c r="J30" s="107"/>
      <c r="K30" s="107"/>
      <c r="L30" s="107"/>
      <c r="M30" s="107"/>
      <c r="N30" s="107"/>
      <c r="O30" s="107"/>
      <c r="Q30" s="106" t="e">
        <f t="shared" si="26"/>
        <v>#N/A</v>
      </c>
      <c r="R30" s="106" t="e">
        <f t="shared" si="27"/>
        <v>#N/A</v>
      </c>
      <c r="S30" s="106" t="e">
        <f t="shared" si="28"/>
        <v>#N/A</v>
      </c>
      <c r="T30" s="106" t="e">
        <f t="shared" si="29"/>
        <v>#N/A</v>
      </c>
      <c r="U30" s="106" t="e">
        <f t="shared" si="30"/>
        <v>#N/A</v>
      </c>
      <c r="V30" s="106" t="e">
        <f t="shared" si="31"/>
        <v>#N/A</v>
      </c>
      <c r="W30" s="106" t="e">
        <f t="shared" si="32"/>
        <v>#N/A</v>
      </c>
      <c r="X30" s="106" t="e">
        <f t="shared" si="33"/>
        <v>#N/A</v>
      </c>
      <c r="Y30" s="106" t="e">
        <f t="shared" si="34"/>
        <v>#N/A</v>
      </c>
      <c r="Z30" s="106" t="e">
        <f t="shared" si="35"/>
        <v>#N/A</v>
      </c>
      <c r="AA30" s="106" t="e">
        <f t="shared" si="36"/>
        <v>#N/A</v>
      </c>
      <c r="AB30" s="106" t="e">
        <f t="shared" si="37"/>
        <v>#N/A</v>
      </c>
    </row>
    <row r="31" spans="1:31" x14ac:dyDescent="0.25">
      <c r="A31" s="125" t="s">
        <v>3</v>
      </c>
      <c r="B31" s="107"/>
      <c r="C31" s="107"/>
      <c r="D31" s="107"/>
      <c r="E31" s="107"/>
      <c r="F31" s="107"/>
      <c r="G31" s="107"/>
      <c r="H31" s="107"/>
      <c r="I31" s="107"/>
      <c r="J31" s="107"/>
      <c r="K31" s="107"/>
      <c r="L31" s="107"/>
      <c r="M31" s="107"/>
      <c r="N31" s="107"/>
      <c r="O31" s="107"/>
      <c r="Q31" s="106" t="e">
        <f t="shared" si="26"/>
        <v>#N/A</v>
      </c>
      <c r="R31" s="106" t="e">
        <f t="shared" si="27"/>
        <v>#N/A</v>
      </c>
      <c r="S31" s="106" t="e">
        <f t="shared" si="28"/>
        <v>#N/A</v>
      </c>
      <c r="T31" s="106" t="e">
        <f t="shared" si="29"/>
        <v>#N/A</v>
      </c>
      <c r="U31" s="106" t="e">
        <f t="shared" si="30"/>
        <v>#N/A</v>
      </c>
      <c r="V31" s="106" t="e">
        <f t="shared" si="31"/>
        <v>#N/A</v>
      </c>
      <c r="W31" s="106" t="e">
        <f t="shared" si="32"/>
        <v>#N/A</v>
      </c>
      <c r="X31" s="106" t="e">
        <f t="shared" si="33"/>
        <v>#N/A</v>
      </c>
      <c r="Y31" s="106" t="e">
        <f t="shared" si="34"/>
        <v>#N/A</v>
      </c>
      <c r="Z31" s="106" t="e">
        <f t="shared" si="35"/>
        <v>#N/A</v>
      </c>
      <c r="AA31" s="106" t="e">
        <f t="shared" si="36"/>
        <v>#N/A</v>
      </c>
      <c r="AB31" s="106" t="e">
        <f t="shared" si="37"/>
        <v>#N/A</v>
      </c>
    </row>
    <row r="32" spans="1:31" x14ac:dyDescent="0.25">
      <c r="A32" s="7" t="s">
        <v>6</v>
      </c>
      <c r="B32" s="105">
        <f t="shared" ref="B32:O32" si="40">B28+B24</f>
        <v>0</v>
      </c>
      <c r="C32" s="105">
        <f t="shared" si="40"/>
        <v>0</v>
      </c>
      <c r="D32" s="105" t="e">
        <f t="shared" si="40"/>
        <v>#N/A</v>
      </c>
      <c r="E32" s="105" t="e">
        <f t="shared" si="40"/>
        <v>#N/A</v>
      </c>
      <c r="F32" s="105" t="e">
        <f t="shared" si="40"/>
        <v>#N/A</v>
      </c>
      <c r="G32" s="105" t="e">
        <f t="shared" si="40"/>
        <v>#N/A</v>
      </c>
      <c r="H32" s="105" t="e">
        <f t="shared" si="40"/>
        <v>#N/A</v>
      </c>
      <c r="I32" s="105" t="e">
        <f t="shared" si="40"/>
        <v>#N/A</v>
      </c>
      <c r="J32" s="105" t="e">
        <f t="shared" si="40"/>
        <v>#N/A</v>
      </c>
      <c r="K32" s="105" t="e">
        <f t="shared" si="40"/>
        <v>#N/A</v>
      </c>
      <c r="L32" s="105" t="e">
        <f t="shared" si="40"/>
        <v>#N/A</v>
      </c>
      <c r="M32" s="105" t="e">
        <f t="shared" si="40"/>
        <v>#N/A</v>
      </c>
      <c r="N32" s="105" t="e">
        <f t="shared" si="40"/>
        <v>#N/A</v>
      </c>
      <c r="O32" s="105" t="e">
        <f t="shared" si="40"/>
        <v>#N/A</v>
      </c>
      <c r="Q32" s="105" t="e">
        <f t="shared" si="26"/>
        <v>#N/A</v>
      </c>
      <c r="R32" s="105" t="e">
        <f t="shared" si="27"/>
        <v>#N/A</v>
      </c>
      <c r="S32" s="105" t="e">
        <f t="shared" si="28"/>
        <v>#N/A</v>
      </c>
      <c r="T32" s="105" t="e">
        <f t="shared" si="29"/>
        <v>#N/A</v>
      </c>
      <c r="U32" s="105" t="e">
        <f t="shared" si="30"/>
        <v>#N/A</v>
      </c>
      <c r="V32" s="105" t="e">
        <f t="shared" si="31"/>
        <v>#N/A</v>
      </c>
      <c r="W32" s="105" t="e">
        <f t="shared" si="32"/>
        <v>#N/A</v>
      </c>
      <c r="X32" s="105" t="e">
        <f t="shared" si="33"/>
        <v>#N/A</v>
      </c>
      <c r="Y32" s="105" t="e">
        <f t="shared" si="34"/>
        <v>#N/A</v>
      </c>
      <c r="Z32" s="105" t="e">
        <f t="shared" si="35"/>
        <v>#N/A</v>
      </c>
      <c r="AA32" s="105" t="e">
        <f t="shared" si="36"/>
        <v>#N/A</v>
      </c>
      <c r="AB32" s="105" t="e">
        <f t="shared" si="37"/>
        <v>#N/A</v>
      </c>
    </row>
    <row r="33" spans="1:28" x14ac:dyDescent="0.25">
      <c r="A33" s="8"/>
      <c r="B33" s="9"/>
      <c r="C33" s="9"/>
      <c r="R33" s="43"/>
      <c r="S33" s="43"/>
      <c r="T33" s="43"/>
      <c r="U33" s="43"/>
      <c r="V33" s="43"/>
      <c r="W33" s="43"/>
      <c r="X33" s="43"/>
      <c r="Y33" s="43"/>
      <c r="Z33" s="43"/>
      <c r="AA33" s="43"/>
      <c r="AB33" s="43"/>
    </row>
    <row r="34" spans="1:28" ht="30" x14ac:dyDescent="0.25">
      <c r="A34" s="10" t="s">
        <v>33</v>
      </c>
      <c r="B34" s="44">
        <f t="shared" ref="B34:O34" si="41">B14</f>
        <v>2017</v>
      </c>
      <c r="C34" s="44">
        <f t="shared" si="41"/>
        <v>2018</v>
      </c>
      <c r="D34" s="11" t="str">
        <f t="shared" si="41"/>
        <v>janv 2019</v>
      </c>
      <c r="E34" s="11" t="str">
        <f t="shared" si="41"/>
        <v>fév 2019</v>
      </c>
      <c r="F34" s="11" t="str">
        <f t="shared" si="41"/>
        <v>mars 2019</v>
      </c>
      <c r="G34" s="11" t="str">
        <f t="shared" si="41"/>
        <v>avril 2019</v>
      </c>
      <c r="H34" s="11" t="str">
        <f t="shared" si="41"/>
        <v>mai 2019</v>
      </c>
      <c r="I34" s="11" t="str">
        <f t="shared" si="41"/>
        <v>juin 2019</v>
      </c>
      <c r="J34" s="11" t="str">
        <f t="shared" si="41"/>
        <v>juil 2019</v>
      </c>
      <c r="K34" s="11" t="str">
        <f t="shared" si="41"/>
        <v>août 2019</v>
      </c>
      <c r="L34" s="11" t="str">
        <f t="shared" si="41"/>
        <v>sept 2019</v>
      </c>
      <c r="M34" s="11" t="str">
        <f t="shared" si="41"/>
        <v>oct 2019</v>
      </c>
      <c r="N34" s="11" t="str">
        <f t="shared" si="41"/>
        <v>nov 2019</v>
      </c>
      <c r="O34" s="11" t="str">
        <f t="shared" si="41"/>
        <v>déc 2019</v>
      </c>
      <c r="Q34" s="11" t="str">
        <f>Q23</f>
        <v>janv 2019</v>
      </c>
      <c r="R34" s="11" t="str">
        <f>R23</f>
        <v>janv-fév 2019</v>
      </c>
      <c r="S34" s="11" t="str">
        <f t="shared" ref="S34:AB34" si="42">S23</f>
        <v>janv-mars 2019</v>
      </c>
      <c r="T34" s="11" t="str">
        <f t="shared" si="42"/>
        <v>janv-avril 2019</v>
      </c>
      <c r="U34" s="11" t="str">
        <f t="shared" si="42"/>
        <v>janv-mai 2019</v>
      </c>
      <c r="V34" s="11" t="str">
        <f t="shared" si="42"/>
        <v>janv-juin 2019</v>
      </c>
      <c r="W34" s="11" t="str">
        <f t="shared" si="42"/>
        <v>janv-juil 2019</v>
      </c>
      <c r="X34" s="11" t="str">
        <f t="shared" si="42"/>
        <v>janv-août 2019</v>
      </c>
      <c r="Y34" s="11" t="str">
        <f t="shared" si="42"/>
        <v>janv-sept 2019</v>
      </c>
      <c r="Z34" s="11" t="str">
        <f t="shared" si="42"/>
        <v>janv-oct 2019</v>
      </c>
      <c r="AA34" s="11" t="str">
        <f t="shared" si="42"/>
        <v>janv-nov 2019</v>
      </c>
      <c r="AB34" s="11" t="str">
        <f t="shared" si="42"/>
        <v>janv-déc 2019</v>
      </c>
    </row>
    <row r="35" spans="1:28" x14ac:dyDescent="0.25">
      <c r="A35" s="7" t="s">
        <v>1</v>
      </c>
      <c r="B35" s="105">
        <f>B36+B37</f>
        <v>0</v>
      </c>
      <c r="C35" s="105">
        <f t="shared" ref="C35:O35" si="43">C36+C37</f>
        <v>0</v>
      </c>
      <c r="D35" s="105">
        <f t="shared" si="43"/>
        <v>0</v>
      </c>
      <c r="E35" s="105">
        <f t="shared" si="43"/>
        <v>0</v>
      </c>
      <c r="F35" s="105">
        <f t="shared" si="43"/>
        <v>0</v>
      </c>
      <c r="G35" s="105">
        <f t="shared" si="43"/>
        <v>0</v>
      </c>
      <c r="H35" s="105">
        <f t="shared" si="43"/>
        <v>0</v>
      </c>
      <c r="I35" s="105">
        <f t="shared" si="43"/>
        <v>0</v>
      </c>
      <c r="J35" s="105">
        <f t="shared" si="43"/>
        <v>0</v>
      </c>
      <c r="K35" s="105">
        <f t="shared" si="43"/>
        <v>0</v>
      </c>
      <c r="L35" s="105">
        <f t="shared" si="43"/>
        <v>0</v>
      </c>
      <c r="M35" s="105">
        <f t="shared" si="43"/>
        <v>0</v>
      </c>
      <c r="N35" s="105">
        <f t="shared" si="43"/>
        <v>0</v>
      </c>
      <c r="O35" s="105">
        <f t="shared" si="43"/>
        <v>0</v>
      </c>
      <c r="Q35" s="105" t="str">
        <f>IF(D35=0," ",D35)</f>
        <v xml:space="preserve"> </v>
      </c>
      <c r="R35" s="105" t="str">
        <f>IF(E35=0," ",AVERAGE(D35:E35))</f>
        <v xml:space="preserve"> </v>
      </c>
      <c r="S35" s="105" t="str">
        <f>IF(F35=0," ",AVERAGE(D35:F35))</f>
        <v xml:space="preserve"> </v>
      </c>
      <c r="T35" s="105" t="str">
        <f>IF(G35=0," ",AVERAGE(D35:G35))</f>
        <v xml:space="preserve"> </v>
      </c>
      <c r="U35" s="105" t="str">
        <f>IF(H35=0," ",AVERAGE(D35:H35))</f>
        <v xml:space="preserve"> </v>
      </c>
      <c r="V35" s="105" t="str">
        <f>IF(I35=0," ",AVERAGE(D35:I35))</f>
        <v xml:space="preserve"> </v>
      </c>
      <c r="W35" s="105" t="str">
        <f>IF(J35=0," ",AVERAGE(D35:J35))</f>
        <v xml:space="preserve"> </v>
      </c>
      <c r="X35" s="105" t="str">
        <f>IF(K35=0," ",AVERAGE(D35:K35))</f>
        <v xml:space="preserve"> </v>
      </c>
      <c r="Y35" s="105" t="str">
        <f>IF(L35=0," ",AVERAGE(D35:L35))</f>
        <v xml:space="preserve"> </v>
      </c>
      <c r="Z35" s="105" t="str">
        <f>IF(M35=0," ",AVERAGE(D35:M35))</f>
        <v xml:space="preserve"> </v>
      </c>
      <c r="AA35" s="105" t="str">
        <f>IF(N35=0," ",AVERAGE(D35:N35))</f>
        <v xml:space="preserve"> </v>
      </c>
      <c r="AB35" s="105" t="str">
        <f>IF(O35=0," ",AVERAGE(D35:O35))</f>
        <v xml:space="preserve"> </v>
      </c>
    </row>
    <row r="36" spans="1:28" x14ac:dyDescent="0.25">
      <c r="A36" s="125" t="s">
        <v>2</v>
      </c>
      <c r="B36" s="107"/>
      <c r="C36" s="107"/>
      <c r="D36" s="107"/>
      <c r="E36" s="107"/>
      <c r="F36" s="107"/>
      <c r="G36" s="107"/>
      <c r="H36" s="107"/>
      <c r="I36" s="107"/>
      <c r="J36" s="107"/>
      <c r="K36" s="107"/>
      <c r="L36" s="107"/>
      <c r="M36" s="107"/>
      <c r="N36" s="107"/>
      <c r="O36" s="107"/>
      <c r="Q36" s="106" t="str">
        <f t="shared" ref="Q36:Q40" si="44">IF(D36=0," ",D36)</f>
        <v xml:space="preserve"> </v>
      </c>
      <c r="R36" s="106" t="str">
        <f t="shared" ref="R36:R41" si="45">IF(E36=0," ",AVERAGE(D36:E36))</f>
        <v xml:space="preserve"> </v>
      </c>
      <c r="S36" s="106" t="str">
        <f t="shared" ref="S36:S41" si="46">IF(F36=0," ",AVERAGE(D36:F36))</f>
        <v xml:space="preserve"> </v>
      </c>
      <c r="T36" s="106" t="str">
        <f t="shared" ref="T36:T41" si="47">IF(G36=0," ",AVERAGE(D36:G36))</f>
        <v xml:space="preserve"> </v>
      </c>
      <c r="U36" s="106" t="str">
        <f t="shared" ref="U36:U41" si="48">IF(H36=0," ",AVERAGE(D36:H36))</f>
        <v xml:space="preserve"> </v>
      </c>
      <c r="V36" s="106" t="str">
        <f t="shared" ref="V36:V41" si="49">IF(I36=0," ",AVERAGE(D36:I36))</f>
        <v xml:space="preserve"> </v>
      </c>
      <c r="W36" s="106" t="str">
        <f t="shared" ref="W36:W41" si="50">IF(J36=0," ",AVERAGE(D36:J36))</f>
        <v xml:space="preserve"> </v>
      </c>
      <c r="X36" s="106" t="str">
        <f t="shared" ref="X36:X41" si="51">IF(K36=0," ",AVERAGE(D36:K36))</f>
        <v xml:space="preserve"> </v>
      </c>
      <c r="Y36" s="106" t="str">
        <f t="shared" ref="Y36:Y41" si="52">IF(L36=0," ",AVERAGE(D36:L36))</f>
        <v xml:space="preserve"> </v>
      </c>
      <c r="Z36" s="106" t="str">
        <f t="shared" ref="Z36:Z41" si="53">IF(M36=0," ",AVERAGE(D36:M36))</f>
        <v xml:space="preserve"> </v>
      </c>
      <c r="AA36" s="106" t="str">
        <f t="shared" ref="AA36:AA41" si="54">IF(N36=0," ",AVERAGE(D36:N36))</f>
        <v xml:space="preserve"> </v>
      </c>
      <c r="AB36" s="106" t="str">
        <f t="shared" ref="AB36:AB41" si="55">IF(O36=0," ",AVERAGE(D36:O36))</f>
        <v xml:space="preserve"> </v>
      </c>
    </row>
    <row r="37" spans="1:28" x14ac:dyDescent="0.25">
      <c r="A37" s="125" t="s">
        <v>3</v>
      </c>
      <c r="B37" s="107"/>
      <c r="C37" s="107"/>
      <c r="D37" s="107"/>
      <c r="E37" s="107"/>
      <c r="F37" s="107"/>
      <c r="G37" s="107"/>
      <c r="H37" s="107"/>
      <c r="I37" s="107"/>
      <c r="J37" s="107"/>
      <c r="K37" s="107"/>
      <c r="L37" s="107"/>
      <c r="M37" s="107"/>
      <c r="N37" s="107"/>
      <c r="O37" s="107"/>
      <c r="Q37" s="106" t="str">
        <f t="shared" si="44"/>
        <v xml:space="preserve"> </v>
      </c>
      <c r="R37" s="106" t="str">
        <f t="shared" si="45"/>
        <v xml:space="preserve"> </v>
      </c>
      <c r="S37" s="106" t="str">
        <f t="shared" si="46"/>
        <v xml:space="preserve"> </v>
      </c>
      <c r="T37" s="106" t="str">
        <f t="shared" si="47"/>
        <v xml:space="preserve"> </v>
      </c>
      <c r="U37" s="106" t="str">
        <f t="shared" si="48"/>
        <v xml:space="preserve"> </v>
      </c>
      <c r="V37" s="106" t="str">
        <f t="shared" si="49"/>
        <v xml:space="preserve"> </v>
      </c>
      <c r="W37" s="106" t="str">
        <f t="shared" si="50"/>
        <v xml:space="preserve"> </v>
      </c>
      <c r="X37" s="106" t="str">
        <f t="shared" si="51"/>
        <v xml:space="preserve"> </v>
      </c>
      <c r="Y37" s="106" t="str">
        <f t="shared" si="52"/>
        <v xml:space="preserve"> </v>
      </c>
      <c r="Z37" s="106" t="str">
        <f t="shared" si="53"/>
        <v xml:space="preserve"> </v>
      </c>
      <c r="AA37" s="106" t="str">
        <f t="shared" si="54"/>
        <v xml:space="preserve"> </v>
      </c>
      <c r="AB37" s="106" t="str">
        <f t="shared" si="55"/>
        <v xml:space="preserve"> </v>
      </c>
    </row>
    <row r="38" spans="1:28" x14ac:dyDescent="0.25">
      <c r="A38" s="7" t="s">
        <v>110</v>
      </c>
      <c r="B38" s="105">
        <f>B39+B40</f>
        <v>0</v>
      </c>
      <c r="C38" s="105">
        <f t="shared" ref="C38:O38" si="56">C39+C40</f>
        <v>0</v>
      </c>
      <c r="D38" s="105">
        <f t="shared" si="56"/>
        <v>0</v>
      </c>
      <c r="E38" s="105">
        <f t="shared" si="56"/>
        <v>0</v>
      </c>
      <c r="F38" s="105">
        <f t="shared" si="56"/>
        <v>0</v>
      </c>
      <c r="G38" s="105">
        <f t="shared" si="56"/>
        <v>0</v>
      </c>
      <c r="H38" s="105">
        <f t="shared" si="56"/>
        <v>0</v>
      </c>
      <c r="I38" s="105">
        <f t="shared" si="56"/>
        <v>0</v>
      </c>
      <c r="J38" s="105">
        <f t="shared" si="56"/>
        <v>0</v>
      </c>
      <c r="K38" s="105">
        <f t="shared" si="56"/>
        <v>0</v>
      </c>
      <c r="L38" s="105">
        <f t="shared" si="56"/>
        <v>0</v>
      </c>
      <c r="M38" s="105">
        <f t="shared" si="56"/>
        <v>0</v>
      </c>
      <c r="N38" s="105">
        <f t="shared" si="56"/>
        <v>0</v>
      </c>
      <c r="O38" s="105">
        <f t="shared" si="56"/>
        <v>0</v>
      </c>
      <c r="Q38" s="105" t="str">
        <f t="shared" si="44"/>
        <v xml:space="preserve"> </v>
      </c>
      <c r="R38" s="105" t="str">
        <f t="shared" si="45"/>
        <v xml:space="preserve"> </v>
      </c>
      <c r="S38" s="105" t="str">
        <f t="shared" si="46"/>
        <v xml:space="preserve"> </v>
      </c>
      <c r="T38" s="105" t="str">
        <f t="shared" si="47"/>
        <v xml:space="preserve"> </v>
      </c>
      <c r="U38" s="105" t="str">
        <f t="shared" si="48"/>
        <v xml:space="preserve"> </v>
      </c>
      <c r="V38" s="105" t="str">
        <f t="shared" si="49"/>
        <v xml:space="preserve"> </v>
      </c>
      <c r="W38" s="105" t="str">
        <f t="shared" si="50"/>
        <v xml:space="preserve"> </v>
      </c>
      <c r="X38" s="105" t="str">
        <f t="shared" si="51"/>
        <v xml:space="preserve"> </v>
      </c>
      <c r="Y38" s="105" t="str">
        <f t="shared" si="52"/>
        <v xml:space="preserve"> </v>
      </c>
      <c r="Z38" s="105" t="str">
        <f t="shared" si="53"/>
        <v xml:space="preserve"> </v>
      </c>
      <c r="AA38" s="105" t="str">
        <f t="shared" si="54"/>
        <v xml:space="preserve"> </v>
      </c>
      <c r="AB38" s="105" t="str">
        <f t="shared" si="55"/>
        <v xml:space="preserve"> </v>
      </c>
    </row>
    <row r="39" spans="1:28" x14ac:dyDescent="0.25">
      <c r="A39" s="125" t="s">
        <v>2</v>
      </c>
      <c r="B39" s="107"/>
      <c r="C39" s="107"/>
      <c r="D39" s="107"/>
      <c r="E39" s="107"/>
      <c r="F39" s="107"/>
      <c r="G39" s="107"/>
      <c r="H39" s="107"/>
      <c r="I39" s="107"/>
      <c r="J39" s="107"/>
      <c r="K39" s="107"/>
      <c r="L39" s="107"/>
      <c r="M39" s="107"/>
      <c r="N39" s="107"/>
      <c r="O39" s="107"/>
      <c r="Q39" s="106" t="str">
        <f t="shared" si="44"/>
        <v xml:space="preserve"> </v>
      </c>
      <c r="R39" s="106" t="str">
        <f t="shared" si="45"/>
        <v xml:space="preserve"> </v>
      </c>
      <c r="S39" s="106" t="str">
        <f t="shared" si="46"/>
        <v xml:space="preserve"> </v>
      </c>
      <c r="T39" s="106" t="str">
        <f t="shared" si="47"/>
        <v xml:space="preserve"> </v>
      </c>
      <c r="U39" s="106" t="str">
        <f t="shared" si="48"/>
        <v xml:space="preserve"> </v>
      </c>
      <c r="V39" s="106" t="str">
        <f t="shared" si="49"/>
        <v xml:space="preserve"> </v>
      </c>
      <c r="W39" s="106" t="str">
        <f t="shared" si="50"/>
        <v xml:space="preserve"> </v>
      </c>
      <c r="X39" s="106" t="str">
        <f t="shared" si="51"/>
        <v xml:space="preserve"> </v>
      </c>
      <c r="Y39" s="106" t="str">
        <f t="shared" si="52"/>
        <v xml:space="preserve"> </v>
      </c>
      <c r="Z39" s="106" t="str">
        <f t="shared" si="53"/>
        <v xml:space="preserve"> </v>
      </c>
      <c r="AA39" s="106" t="str">
        <f t="shared" si="54"/>
        <v xml:space="preserve"> </v>
      </c>
      <c r="AB39" s="106" t="str">
        <f t="shared" si="55"/>
        <v xml:space="preserve"> </v>
      </c>
    </row>
    <row r="40" spans="1:28" x14ac:dyDescent="0.25">
      <c r="A40" s="125" t="s">
        <v>3</v>
      </c>
      <c r="B40" s="107"/>
      <c r="C40" s="107"/>
      <c r="D40" s="107"/>
      <c r="E40" s="107"/>
      <c r="F40" s="107"/>
      <c r="G40" s="107"/>
      <c r="H40" s="107"/>
      <c r="I40" s="107"/>
      <c r="J40" s="107"/>
      <c r="K40" s="107"/>
      <c r="L40" s="107"/>
      <c r="M40" s="107"/>
      <c r="N40" s="107"/>
      <c r="O40" s="107"/>
      <c r="Q40" s="106" t="str">
        <f t="shared" si="44"/>
        <v xml:space="preserve"> </v>
      </c>
      <c r="R40" s="106" t="str">
        <f t="shared" si="45"/>
        <v xml:space="preserve"> </v>
      </c>
      <c r="S40" s="106" t="str">
        <f t="shared" si="46"/>
        <v xml:space="preserve"> </v>
      </c>
      <c r="T40" s="106" t="str">
        <f t="shared" si="47"/>
        <v xml:space="preserve"> </v>
      </c>
      <c r="U40" s="106" t="str">
        <f t="shared" si="48"/>
        <v xml:space="preserve"> </v>
      </c>
      <c r="V40" s="106" t="str">
        <f t="shared" si="49"/>
        <v xml:space="preserve"> </v>
      </c>
      <c r="W40" s="106" t="str">
        <f t="shared" si="50"/>
        <v xml:space="preserve"> </v>
      </c>
      <c r="X40" s="106" t="str">
        <f t="shared" si="51"/>
        <v xml:space="preserve"> </v>
      </c>
      <c r="Y40" s="106" t="str">
        <f t="shared" si="52"/>
        <v xml:space="preserve"> </v>
      </c>
      <c r="Z40" s="106" t="str">
        <f t="shared" si="53"/>
        <v xml:space="preserve"> </v>
      </c>
      <c r="AA40" s="106" t="str">
        <f t="shared" si="54"/>
        <v xml:space="preserve"> </v>
      </c>
      <c r="AB40" s="106" t="str">
        <f t="shared" si="55"/>
        <v xml:space="preserve"> </v>
      </c>
    </row>
    <row r="41" spans="1:28" x14ac:dyDescent="0.25">
      <c r="A41" s="7" t="s">
        <v>6</v>
      </c>
      <c r="B41" s="105">
        <f>B38+B35</f>
        <v>0</v>
      </c>
      <c r="C41" s="105">
        <f t="shared" ref="C41:O41" si="57">C38+C35</f>
        <v>0</v>
      </c>
      <c r="D41" s="105">
        <f t="shared" si="57"/>
        <v>0</v>
      </c>
      <c r="E41" s="105">
        <f t="shared" si="57"/>
        <v>0</v>
      </c>
      <c r="F41" s="105">
        <f t="shared" si="57"/>
        <v>0</v>
      </c>
      <c r="G41" s="105">
        <f t="shared" si="57"/>
        <v>0</v>
      </c>
      <c r="H41" s="105">
        <f t="shared" si="57"/>
        <v>0</v>
      </c>
      <c r="I41" s="105">
        <f t="shared" si="57"/>
        <v>0</v>
      </c>
      <c r="J41" s="105">
        <f t="shared" si="57"/>
        <v>0</v>
      </c>
      <c r="K41" s="105">
        <f t="shared" si="57"/>
        <v>0</v>
      </c>
      <c r="L41" s="105">
        <f t="shared" si="57"/>
        <v>0</v>
      </c>
      <c r="M41" s="105">
        <f t="shared" si="57"/>
        <v>0</v>
      </c>
      <c r="N41" s="105">
        <f t="shared" si="57"/>
        <v>0</v>
      </c>
      <c r="O41" s="105">
        <f t="shared" si="57"/>
        <v>0</v>
      </c>
      <c r="Q41" s="105" t="str">
        <f>IF(D41=0," ",D41)</f>
        <v xml:space="preserve"> </v>
      </c>
      <c r="R41" s="105" t="str">
        <f t="shared" si="45"/>
        <v xml:space="preserve"> </v>
      </c>
      <c r="S41" s="105" t="str">
        <f t="shared" si="46"/>
        <v xml:space="preserve"> </v>
      </c>
      <c r="T41" s="105" t="str">
        <f t="shared" si="47"/>
        <v xml:space="preserve"> </v>
      </c>
      <c r="U41" s="105" t="str">
        <f t="shared" si="48"/>
        <v xml:space="preserve"> </v>
      </c>
      <c r="V41" s="105" t="str">
        <f t="shared" si="49"/>
        <v xml:space="preserve"> </v>
      </c>
      <c r="W41" s="105" t="str">
        <f t="shared" si="50"/>
        <v xml:space="preserve"> </v>
      </c>
      <c r="X41" s="105" t="str">
        <f t="shared" si="51"/>
        <v xml:space="preserve"> </v>
      </c>
      <c r="Y41" s="105" t="str">
        <f t="shared" si="52"/>
        <v xml:space="preserve"> </v>
      </c>
      <c r="Z41" s="105" t="str">
        <f t="shared" si="53"/>
        <v xml:space="preserve"> </v>
      </c>
      <c r="AA41" s="105" t="str">
        <f t="shared" si="54"/>
        <v xml:space="preserve"> </v>
      </c>
      <c r="AB41" s="105" t="str">
        <f t="shared" si="55"/>
        <v xml:space="preserve"> </v>
      </c>
    </row>
    <row r="42" spans="1:28" x14ac:dyDescent="0.25">
      <c r="A42" s="8"/>
      <c r="B42" s="9"/>
      <c r="C42" s="9"/>
      <c r="R42" s="43"/>
      <c r="S42" s="43"/>
      <c r="T42" s="43"/>
      <c r="U42" s="43"/>
      <c r="V42" s="43"/>
      <c r="W42" s="43"/>
      <c r="X42" s="43"/>
      <c r="Y42" s="43"/>
      <c r="Z42" s="43"/>
      <c r="AA42" s="43"/>
      <c r="AB42" s="43"/>
    </row>
    <row r="43" spans="1:28" ht="30" x14ac:dyDescent="0.25">
      <c r="A43" s="10" t="s">
        <v>5</v>
      </c>
      <c r="B43" s="44">
        <f t="shared" ref="B43:O43" si="58">B14</f>
        <v>2017</v>
      </c>
      <c r="C43" s="44">
        <f t="shared" si="58"/>
        <v>2018</v>
      </c>
      <c r="D43" s="11" t="str">
        <f t="shared" si="58"/>
        <v>janv 2019</v>
      </c>
      <c r="E43" s="11" t="str">
        <f t="shared" si="58"/>
        <v>fév 2019</v>
      </c>
      <c r="F43" s="11" t="str">
        <f t="shared" si="58"/>
        <v>mars 2019</v>
      </c>
      <c r="G43" s="11" t="str">
        <f t="shared" si="58"/>
        <v>avril 2019</v>
      </c>
      <c r="H43" s="11" t="str">
        <f t="shared" si="58"/>
        <v>mai 2019</v>
      </c>
      <c r="I43" s="11" t="str">
        <f t="shared" si="58"/>
        <v>juin 2019</v>
      </c>
      <c r="J43" s="11" t="str">
        <f t="shared" si="58"/>
        <v>juil 2019</v>
      </c>
      <c r="K43" s="11" t="str">
        <f t="shared" si="58"/>
        <v>août 2019</v>
      </c>
      <c r="L43" s="11" t="str">
        <f t="shared" si="58"/>
        <v>sept 2019</v>
      </c>
      <c r="M43" s="11" t="str">
        <f t="shared" si="58"/>
        <v>oct 2019</v>
      </c>
      <c r="N43" s="11" t="str">
        <f t="shared" si="58"/>
        <v>nov 2019</v>
      </c>
      <c r="O43" s="11" t="str">
        <f t="shared" si="58"/>
        <v>déc 2019</v>
      </c>
      <c r="Q43" s="11" t="str">
        <f>Q34</f>
        <v>janv 2019</v>
      </c>
      <c r="R43" s="11" t="str">
        <f>R34</f>
        <v>janv-fév 2019</v>
      </c>
      <c r="S43" s="11" t="str">
        <f t="shared" ref="S43:AB43" si="59">S34</f>
        <v>janv-mars 2019</v>
      </c>
      <c r="T43" s="11" t="str">
        <f t="shared" si="59"/>
        <v>janv-avril 2019</v>
      </c>
      <c r="U43" s="11" t="str">
        <f t="shared" si="59"/>
        <v>janv-mai 2019</v>
      </c>
      <c r="V43" s="11" t="str">
        <f t="shared" si="59"/>
        <v>janv-juin 2019</v>
      </c>
      <c r="W43" s="11" t="str">
        <f t="shared" si="59"/>
        <v>janv-juil 2019</v>
      </c>
      <c r="X43" s="11" t="str">
        <f t="shared" si="59"/>
        <v>janv-août 2019</v>
      </c>
      <c r="Y43" s="11" t="str">
        <f t="shared" si="59"/>
        <v>janv-sept 2019</v>
      </c>
      <c r="Z43" s="11" t="str">
        <f t="shared" si="59"/>
        <v>janv-oct 2019</v>
      </c>
      <c r="AA43" s="11" t="str">
        <f t="shared" si="59"/>
        <v>janv-nov 2019</v>
      </c>
      <c r="AB43" s="11" t="str">
        <f t="shared" si="59"/>
        <v>janv-déc 2019</v>
      </c>
    </row>
    <row r="44" spans="1:28" x14ac:dyDescent="0.25">
      <c r="A44" s="7" t="s">
        <v>1</v>
      </c>
      <c r="B44" s="105">
        <f>B45+B46</f>
        <v>0</v>
      </c>
      <c r="C44" s="105">
        <f t="shared" ref="C44:O44" si="60">C45+C46</f>
        <v>0</v>
      </c>
      <c r="D44" s="105">
        <f t="shared" si="60"/>
        <v>0</v>
      </c>
      <c r="E44" s="105">
        <f t="shared" si="60"/>
        <v>0</v>
      </c>
      <c r="F44" s="105">
        <f t="shared" si="60"/>
        <v>0</v>
      </c>
      <c r="G44" s="105">
        <f t="shared" si="60"/>
        <v>0</v>
      </c>
      <c r="H44" s="105">
        <f t="shared" si="60"/>
        <v>0</v>
      </c>
      <c r="I44" s="105">
        <f t="shared" si="60"/>
        <v>0</v>
      </c>
      <c r="J44" s="105">
        <f t="shared" si="60"/>
        <v>0</v>
      </c>
      <c r="K44" s="105">
        <f t="shared" si="60"/>
        <v>0</v>
      </c>
      <c r="L44" s="105">
        <f t="shared" si="60"/>
        <v>0</v>
      </c>
      <c r="M44" s="105">
        <f t="shared" si="60"/>
        <v>0</v>
      </c>
      <c r="N44" s="105">
        <f t="shared" si="60"/>
        <v>0</v>
      </c>
      <c r="O44" s="105">
        <f t="shared" si="60"/>
        <v>0</v>
      </c>
      <c r="Q44" s="105" t="str">
        <f>IF(D44=0," ",D44)</f>
        <v xml:space="preserve"> </v>
      </c>
      <c r="R44" s="105" t="str">
        <f>IF(E44=0," ",AVERAGE(D44:E44))</f>
        <v xml:space="preserve"> </v>
      </c>
      <c r="S44" s="105" t="str">
        <f>IF(F44=0," ",AVERAGE(D44:F44))</f>
        <v xml:space="preserve"> </v>
      </c>
      <c r="T44" s="105" t="str">
        <f>IF(G44=0," ",AVERAGE(D44:G44))</f>
        <v xml:space="preserve"> </v>
      </c>
      <c r="U44" s="105" t="str">
        <f>IF(H44=0," ",AVERAGE(D44:H44))</f>
        <v xml:space="preserve"> </v>
      </c>
      <c r="V44" s="105" t="str">
        <f>IF(I44=0," ", AVERAGE(D44:I44))</f>
        <v xml:space="preserve"> </v>
      </c>
      <c r="W44" s="105" t="str">
        <f>IF(J44=0," ",AVERAGE(D44:J44))</f>
        <v xml:space="preserve"> </v>
      </c>
      <c r="X44" s="105" t="str">
        <f>IF(K44=0," ",AVERAGE(D44:K44))</f>
        <v xml:space="preserve"> </v>
      </c>
      <c r="Y44" s="105" t="str">
        <f>IF(L44=0," ",AVERAGE(D44:L44))</f>
        <v xml:space="preserve"> </v>
      </c>
      <c r="Z44" s="105" t="str">
        <f>IF(M44=0," ", AVERAGE(D44:M44))</f>
        <v xml:space="preserve"> </v>
      </c>
      <c r="AA44" s="105" t="str">
        <f>IF(N44=0," ", AVERAGE(D44:N44))</f>
        <v xml:space="preserve"> </v>
      </c>
      <c r="AB44" s="105" t="str">
        <f>IF(O44=0," ",AVERAGE(D44:O44))</f>
        <v xml:space="preserve"> </v>
      </c>
    </row>
    <row r="45" spans="1:28" x14ac:dyDescent="0.25">
      <c r="A45" s="125" t="s">
        <v>2</v>
      </c>
      <c r="B45" s="107"/>
      <c r="C45" s="107"/>
      <c r="D45" s="107"/>
      <c r="E45" s="107"/>
      <c r="F45" s="107"/>
      <c r="G45" s="107"/>
      <c r="H45" s="107"/>
      <c r="I45" s="107"/>
      <c r="J45" s="107"/>
      <c r="K45" s="107"/>
      <c r="L45" s="107"/>
      <c r="M45" s="107"/>
      <c r="N45" s="107"/>
      <c r="O45" s="107"/>
      <c r="Q45" s="106" t="str">
        <f t="shared" ref="Q45:Q50" si="61">IF(D45=0," ",D45)</f>
        <v xml:space="preserve"> </v>
      </c>
      <c r="R45" s="106" t="str">
        <f t="shared" ref="R45:R50" si="62">IF(E45=0," ",AVERAGE(D45:E45))</f>
        <v xml:space="preserve"> </v>
      </c>
      <c r="S45" s="106" t="str">
        <f t="shared" ref="S45:S50" si="63">IF(F45=0," ",AVERAGE(D45:F45))</f>
        <v xml:space="preserve"> </v>
      </c>
      <c r="T45" s="106" t="str">
        <f t="shared" ref="T45:T50" si="64">IF(G45=0," ",AVERAGE(D45:G45))</f>
        <v xml:space="preserve"> </v>
      </c>
      <c r="U45" s="106" t="str">
        <f t="shared" ref="U45:U50" si="65">IF(H45=0," ",AVERAGE(D45:H45))</f>
        <v xml:space="preserve"> </v>
      </c>
      <c r="V45" s="106" t="str">
        <f t="shared" ref="V45:V50" si="66">IF(I45=0," ", AVERAGE(D45:I45))</f>
        <v xml:space="preserve"> </v>
      </c>
      <c r="W45" s="106" t="str">
        <f t="shared" ref="W45:W50" si="67">IF(J45=0," ",AVERAGE(D45:J45))</f>
        <v xml:space="preserve"> </v>
      </c>
      <c r="X45" s="106" t="str">
        <f t="shared" ref="X45:X50" si="68">IF(K45=0," ",AVERAGE(D45:K45))</f>
        <v xml:space="preserve"> </v>
      </c>
      <c r="Y45" s="106" t="str">
        <f t="shared" ref="Y45:Y50" si="69">IF(L45=0," ",AVERAGE(D45:L45))</f>
        <v xml:space="preserve"> </v>
      </c>
      <c r="Z45" s="106" t="str">
        <f t="shared" ref="Z45:Z50" si="70">IF(M45=0," ", AVERAGE(D45:M45))</f>
        <v xml:space="preserve"> </v>
      </c>
      <c r="AA45" s="106" t="str">
        <f t="shared" ref="AA45:AA50" si="71">IF(N45=0," ", AVERAGE(D45:N45))</f>
        <v xml:space="preserve"> </v>
      </c>
      <c r="AB45" s="106" t="str">
        <f t="shared" ref="AB45:AB50" si="72">IF(O45=0," ",AVERAGE(D45:O45))</f>
        <v xml:space="preserve"> </v>
      </c>
    </row>
    <row r="46" spans="1:28" x14ac:dyDescent="0.25">
      <c r="A46" s="125" t="s">
        <v>3</v>
      </c>
      <c r="B46" s="107"/>
      <c r="C46" s="107"/>
      <c r="D46" s="107"/>
      <c r="E46" s="107"/>
      <c r="F46" s="107"/>
      <c r="G46" s="107"/>
      <c r="H46" s="107"/>
      <c r="I46" s="107"/>
      <c r="J46" s="107"/>
      <c r="K46" s="107"/>
      <c r="L46" s="107"/>
      <c r="M46" s="107"/>
      <c r="N46" s="107"/>
      <c r="O46" s="107"/>
      <c r="Q46" s="106" t="str">
        <f t="shared" si="61"/>
        <v xml:space="preserve"> </v>
      </c>
      <c r="R46" s="106" t="str">
        <f t="shared" si="62"/>
        <v xml:space="preserve"> </v>
      </c>
      <c r="S46" s="106" t="str">
        <f t="shared" si="63"/>
        <v xml:space="preserve"> </v>
      </c>
      <c r="T46" s="106" t="str">
        <f t="shared" si="64"/>
        <v xml:space="preserve"> </v>
      </c>
      <c r="U46" s="106" t="str">
        <f t="shared" si="65"/>
        <v xml:space="preserve"> </v>
      </c>
      <c r="V46" s="106" t="str">
        <f t="shared" si="66"/>
        <v xml:space="preserve"> </v>
      </c>
      <c r="W46" s="106" t="str">
        <f t="shared" si="67"/>
        <v xml:space="preserve"> </v>
      </c>
      <c r="X46" s="106" t="str">
        <f t="shared" si="68"/>
        <v xml:space="preserve"> </v>
      </c>
      <c r="Y46" s="106" t="str">
        <f t="shared" si="69"/>
        <v xml:space="preserve"> </v>
      </c>
      <c r="Z46" s="106" t="str">
        <f t="shared" si="70"/>
        <v xml:space="preserve"> </v>
      </c>
      <c r="AA46" s="106" t="str">
        <f t="shared" si="71"/>
        <v xml:space="preserve"> </v>
      </c>
      <c r="AB46" s="106" t="str">
        <f t="shared" si="72"/>
        <v xml:space="preserve"> </v>
      </c>
    </row>
    <row r="47" spans="1:28" x14ac:dyDescent="0.25">
      <c r="A47" s="7" t="s">
        <v>111</v>
      </c>
      <c r="B47" s="105">
        <f>B48+B49</f>
        <v>0</v>
      </c>
      <c r="C47" s="105">
        <f t="shared" ref="C47:O47" si="73">C48+C49</f>
        <v>0</v>
      </c>
      <c r="D47" s="105">
        <f t="shared" si="73"/>
        <v>0</v>
      </c>
      <c r="E47" s="105">
        <f t="shared" si="73"/>
        <v>0</v>
      </c>
      <c r="F47" s="105">
        <f t="shared" si="73"/>
        <v>0</v>
      </c>
      <c r="G47" s="105">
        <f t="shared" si="73"/>
        <v>0</v>
      </c>
      <c r="H47" s="105">
        <f t="shared" si="73"/>
        <v>0</v>
      </c>
      <c r="I47" s="105">
        <f t="shared" si="73"/>
        <v>0</v>
      </c>
      <c r="J47" s="105">
        <f t="shared" si="73"/>
        <v>0</v>
      </c>
      <c r="K47" s="105">
        <f t="shared" si="73"/>
        <v>0</v>
      </c>
      <c r="L47" s="105">
        <f t="shared" si="73"/>
        <v>0</v>
      </c>
      <c r="M47" s="105">
        <f t="shared" si="73"/>
        <v>0</v>
      </c>
      <c r="N47" s="105">
        <f t="shared" si="73"/>
        <v>0</v>
      </c>
      <c r="O47" s="105">
        <f t="shared" si="73"/>
        <v>0</v>
      </c>
      <c r="Q47" s="105" t="str">
        <f t="shared" si="61"/>
        <v xml:space="preserve"> </v>
      </c>
      <c r="R47" s="105" t="str">
        <f t="shared" si="62"/>
        <v xml:space="preserve"> </v>
      </c>
      <c r="S47" s="105" t="str">
        <f t="shared" si="63"/>
        <v xml:space="preserve"> </v>
      </c>
      <c r="T47" s="105" t="str">
        <f t="shared" si="64"/>
        <v xml:space="preserve"> </v>
      </c>
      <c r="U47" s="105" t="str">
        <f t="shared" si="65"/>
        <v xml:space="preserve"> </v>
      </c>
      <c r="V47" s="105" t="str">
        <f t="shared" si="66"/>
        <v xml:space="preserve"> </v>
      </c>
      <c r="W47" s="105" t="str">
        <f t="shared" si="67"/>
        <v xml:space="preserve"> </v>
      </c>
      <c r="X47" s="105" t="str">
        <f t="shared" si="68"/>
        <v xml:space="preserve"> </v>
      </c>
      <c r="Y47" s="105" t="str">
        <f t="shared" si="69"/>
        <v xml:space="preserve"> </v>
      </c>
      <c r="Z47" s="105" t="str">
        <f t="shared" si="70"/>
        <v xml:space="preserve"> </v>
      </c>
      <c r="AA47" s="105" t="str">
        <f t="shared" si="71"/>
        <v xml:space="preserve"> </v>
      </c>
      <c r="AB47" s="105" t="str">
        <f t="shared" si="72"/>
        <v xml:space="preserve"> </v>
      </c>
    </row>
    <row r="48" spans="1:28" x14ac:dyDescent="0.25">
      <c r="A48" s="125" t="s">
        <v>2</v>
      </c>
      <c r="B48" s="107"/>
      <c r="C48" s="107"/>
      <c r="D48" s="107"/>
      <c r="E48" s="107"/>
      <c r="F48" s="107"/>
      <c r="G48" s="107"/>
      <c r="H48" s="107"/>
      <c r="I48" s="107"/>
      <c r="J48" s="107"/>
      <c r="K48" s="107"/>
      <c r="L48" s="107"/>
      <c r="M48" s="107"/>
      <c r="N48" s="107"/>
      <c r="O48" s="107"/>
      <c r="Q48" s="106" t="str">
        <f t="shared" si="61"/>
        <v xml:space="preserve"> </v>
      </c>
      <c r="R48" s="106" t="str">
        <f t="shared" si="62"/>
        <v xml:space="preserve"> </v>
      </c>
      <c r="S48" s="106" t="str">
        <f t="shared" si="63"/>
        <v xml:space="preserve"> </v>
      </c>
      <c r="T48" s="106" t="str">
        <f t="shared" si="64"/>
        <v xml:space="preserve"> </v>
      </c>
      <c r="U48" s="106" t="str">
        <f t="shared" si="65"/>
        <v xml:space="preserve"> </v>
      </c>
      <c r="V48" s="106" t="str">
        <f t="shared" si="66"/>
        <v xml:space="preserve"> </v>
      </c>
      <c r="W48" s="106" t="str">
        <f t="shared" si="67"/>
        <v xml:space="preserve"> </v>
      </c>
      <c r="X48" s="106" t="str">
        <f t="shared" si="68"/>
        <v xml:space="preserve"> </v>
      </c>
      <c r="Y48" s="106" t="str">
        <f t="shared" si="69"/>
        <v xml:space="preserve"> </v>
      </c>
      <c r="Z48" s="106" t="str">
        <f t="shared" si="70"/>
        <v xml:space="preserve"> </v>
      </c>
      <c r="AA48" s="106" t="str">
        <f t="shared" si="71"/>
        <v xml:space="preserve"> </v>
      </c>
      <c r="AB48" s="106" t="str">
        <f t="shared" si="72"/>
        <v xml:space="preserve"> </v>
      </c>
    </row>
    <row r="49" spans="1:28" x14ac:dyDescent="0.25">
      <c r="A49" s="125" t="s">
        <v>3</v>
      </c>
      <c r="B49" s="107"/>
      <c r="C49" s="107"/>
      <c r="D49" s="107"/>
      <c r="E49" s="107"/>
      <c r="F49" s="107"/>
      <c r="G49" s="107"/>
      <c r="H49" s="107"/>
      <c r="I49" s="107"/>
      <c r="J49" s="107"/>
      <c r="K49" s="107"/>
      <c r="L49" s="107"/>
      <c r="M49" s="107"/>
      <c r="N49" s="107"/>
      <c r="O49" s="107"/>
      <c r="Q49" s="106" t="str">
        <f t="shared" si="61"/>
        <v xml:space="preserve"> </v>
      </c>
      <c r="R49" s="106" t="str">
        <f t="shared" si="62"/>
        <v xml:space="preserve"> </v>
      </c>
      <c r="S49" s="106" t="str">
        <f t="shared" si="63"/>
        <v xml:space="preserve"> </v>
      </c>
      <c r="T49" s="106" t="str">
        <f t="shared" si="64"/>
        <v xml:space="preserve"> </v>
      </c>
      <c r="U49" s="106" t="str">
        <f t="shared" si="65"/>
        <v xml:space="preserve"> </v>
      </c>
      <c r="V49" s="106" t="str">
        <f t="shared" si="66"/>
        <v xml:space="preserve"> </v>
      </c>
      <c r="W49" s="106" t="str">
        <f t="shared" si="67"/>
        <v xml:space="preserve"> </v>
      </c>
      <c r="X49" s="106" t="str">
        <f t="shared" si="68"/>
        <v xml:space="preserve"> </v>
      </c>
      <c r="Y49" s="106" t="str">
        <f t="shared" si="69"/>
        <v xml:space="preserve"> </v>
      </c>
      <c r="Z49" s="106" t="str">
        <f t="shared" si="70"/>
        <v xml:space="preserve"> </v>
      </c>
      <c r="AA49" s="106" t="str">
        <f t="shared" si="71"/>
        <v xml:space="preserve"> </v>
      </c>
      <c r="AB49" s="106" t="str">
        <f t="shared" si="72"/>
        <v xml:space="preserve"> </v>
      </c>
    </row>
    <row r="50" spans="1:28" x14ac:dyDescent="0.25">
      <c r="A50" s="7" t="s">
        <v>6</v>
      </c>
      <c r="B50" s="105">
        <f>B47+B44</f>
        <v>0</v>
      </c>
      <c r="C50" s="105">
        <f t="shared" ref="C50:O50" si="74">C47+C44</f>
        <v>0</v>
      </c>
      <c r="D50" s="105">
        <f t="shared" si="74"/>
        <v>0</v>
      </c>
      <c r="E50" s="105">
        <f t="shared" si="74"/>
        <v>0</v>
      </c>
      <c r="F50" s="105">
        <f t="shared" si="74"/>
        <v>0</v>
      </c>
      <c r="G50" s="105">
        <f t="shared" si="74"/>
        <v>0</v>
      </c>
      <c r="H50" s="105">
        <f t="shared" si="74"/>
        <v>0</v>
      </c>
      <c r="I50" s="105">
        <f t="shared" si="74"/>
        <v>0</v>
      </c>
      <c r="J50" s="105">
        <f t="shared" si="74"/>
        <v>0</v>
      </c>
      <c r="K50" s="105">
        <f t="shared" si="74"/>
        <v>0</v>
      </c>
      <c r="L50" s="105">
        <f t="shared" si="74"/>
        <v>0</v>
      </c>
      <c r="M50" s="105">
        <f t="shared" si="74"/>
        <v>0</v>
      </c>
      <c r="N50" s="105">
        <f t="shared" si="74"/>
        <v>0</v>
      </c>
      <c r="O50" s="105">
        <f t="shared" si="74"/>
        <v>0</v>
      </c>
      <c r="Q50" s="105" t="str">
        <f t="shared" si="61"/>
        <v xml:space="preserve"> </v>
      </c>
      <c r="R50" s="105" t="str">
        <f t="shared" si="62"/>
        <v xml:space="preserve"> </v>
      </c>
      <c r="S50" s="105" t="str">
        <f t="shared" si="63"/>
        <v xml:space="preserve"> </v>
      </c>
      <c r="T50" s="105" t="str">
        <f t="shared" si="64"/>
        <v xml:space="preserve"> </v>
      </c>
      <c r="U50" s="105" t="str">
        <f t="shared" si="65"/>
        <v xml:space="preserve"> </v>
      </c>
      <c r="V50" s="105" t="str">
        <f t="shared" si="66"/>
        <v xml:space="preserve"> </v>
      </c>
      <c r="W50" s="105" t="str">
        <f t="shared" si="67"/>
        <v xml:space="preserve"> </v>
      </c>
      <c r="X50" s="105" t="str">
        <f t="shared" si="68"/>
        <v xml:space="preserve"> </v>
      </c>
      <c r="Y50" s="105" t="str">
        <f t="shared" si="69"/>
        <v xml:space="preserve"> </v>
      </c>
      <c r="Z50" s="105" t="str">
        <f t="shared" si="70"/>
        <v xml:space="preserve"> </v>
      </c>
      <c r="AA50" s="105" t="str">
        <f t="shared" si="71"/>
        <v xml:space="preserve"> </v>
      </c>
      <c r="AB50" s="105" t="str">
        <f t="shared" si="72"/>
        <v xml:space="preserve"> </v>
      </c>
    </row>
    <row r="51" spans="1:28" x14ac:dyDescent="0.25">
      <c r="A51" s="8"/>
      <c r="B51" s="9"/>
      <c r="C51" s="9"/>
      <c r="R51" s="43"/>
      <c r="S51" s="43"/>
      <c r="T51" s="43"/>
      <c r="U51" s="43"/>
      <c r="V51" s="43"/>
      <c r="W51" s="43"/>
      <c r="X51" s="43"/>
      <c r="Y51" s="43"/>
      <c r="Z51" s="43"/>
      <c r="AA51" s="43"/>
      <c r="AB51" s="43"/>
    </row>
    <row r="52" spans="1:28" x14ac:dyDescent="0.25">
      <c r="R52" s="43"/>
      <c r="S52" s="43"/>
      <c r="T52" s="43"/>
      <c r="U52" s="43"/>
      <c r="V52" s="43"/>
      <c r="W52" s="43"/>
      <c r="X52" s="43"/>
      <c r="Y52" s="43"/>
      <c r="Z52" s="43"/>
      <c r="AA52" s="43"/>
      <c r="AB52" s="43"/>
    </row>
    <row r="53" spans="1:28" x14ac:dyDescent="0.25">
      <c r="A53" s="182" t="s">
        <v>112</v>
      </c>
      <c r="B53" s="182"/>
      <c r="C53" s="182"/>
      <c r="D53" s="182"/>
      <c r="E53" s="182"/>
      <c r="F53" s="182"/>
      <c r="G53" s="182"/>
      <c r="H53" s="182"/>
      <c r="I53" s="182"/>
      <c r="R53" s="43"/>
      <c r="S53" s="43"/>
      <c r="T53" s="43"/>
      <c r="U53" s="43"/>
      <c r="V53" s="43"/>
      <c r="W53" s="43"/>
      <c r="X53" s="43"/>
      <c r="Y53" s="43"/>
      <c r="Z53" s="43"/>
      <c r="AA53" s="43"/>
      <c r="AB53" s="43"/>
    </row>
    <row r="54" spans="1:28" x14ac:dyDescent="0.25">
      <c r="A54" s="182"/>
      <c r="B54" s="182"/>
      <c r="C54" s="182"/>
      <c r="D54" s="182"/>
      <c r="E54" s="182"/>
      <c r="F54" s="182"/>
      <c r="G54" s="182"/>
      <c r="H54" s="182"/>
      <c r="I54" s="182"/>
      <c r="R54" s="43"/>
      <c r="S54" s="43"/>
      <c r="T54" s="43"/>
      <c r="U54" s="43"/>
      <c r="V54" s="43"/>
      <c r="W54" s="43"/>
      <c r="X54" s="43"/>
      <c r="Y54" s="43"/>
      <c r="Z54" s="43"/>
      <c r="AA54" s="43"/>
      <c r="AB54" s="43"/>
    </row>
    <row r="55" spans="1:28" x14ac:dyDescent="0.25">
      <c r="A55" s="182"/>
      <c r="B55" s="182"/>
      <c r="C55" s="182"/>
      <c r="D55" s="182"/>
      <c r="E55" s="182"/>
      <c r="F55" s="182"/>
      <c r="G55" s="182"/>
      <c r="H55" s="182"/>
      <c r="I55" s="182"/>
      <c r="R55" s="43"/>
      <c r="S55" s="43"/>
      <c r="T55" s="43"/>
      <c r="U55" s="43"/>
      <c r="V55" s="43"/>
      <c r="W55" s="43"/>
      <c r="X55" s="43"/>
      <c r="Y55" s="43"/>
      <c r="Z55" s="43"/>
      <c r="AA55" s="43"/>
      <c r="AB55" s="43"/>
    </row>
    <row r="56" spans="1:28" x14ac:dyDescent="0.25">
      <c r="A56" s="182"/>
      <c r="B56" s="182"/>
      <c r="C56" s="182"/>
      <c r="D56" s="182"/>
      <c r="E56" s="182"/>
      <c r="F56" s="182"/>
      <c r="G56" s="182"/>
      <c r="H56" s="182"/>
      <c r="I56" s="182"/>
      <c r="J56" s="45"/>
      <c r="K56" s="45"/>
      <c r="L56" s="45"/>
      <c r="M56" s="45"/>
      <c r="N56" s="45"/>
      <c r="O56" s="45"/>
      <c r="R56" s="43"/>
      <c r="S56" s="43"/>
      <c r="T56" s="43"/>
      <c r="U56" s="43"/>
      <c r="V56" s="43"/>
      <c r="W56" s="43"/>
      <c r="X56" s="43"/>
      <c r="Y56" s="43"/>
      <c r="Z56" s="43"/>
      <c r="AA56" s="43"/>
      <c r="AB56" s="43"/>
    </row>
    <row r="57" spans="1:28" x14ac:dyDescent="0.25">
      <c r="A57" s="182"/>
      <c r="B57" s="182"/>
      <c r="C57" s="182"/>
      <c r="D57" s="182"/>
      <c r="E57" s="182"/>
      <c r="F57" s="182"/>
      <c r="G57" s="182"/>
      <c r="H57" s="182"/>
      <c r="I57" s="182"/>
    </row>
    <row r="58" spans="1:28" x14ac:dyDescent="0.25">
      <c r="A58" s="45"/>
      <c r="B58" s="45"/>
      <c r="C58" s="45"/>
      <c r="D58" s="45"/>
      <c r="E58" s="45"/>
      <c r="F58" s="45"/>
      <c r="G58" s="45"/>
      <c r="H58" s="45"/>
      <c r="I58" s="45"/>
    </row>
    <row r="59" spans="1:28" x14ac:dyDescent="0.25">
      <c r="A59" s="194" t="s">
        <v>77</v>
      </c>
      <c r="B59" s="194"/>
      <c r="C59" s="194"/>
      <c r="D59" s="194"/>
      <c r="E59" s="194"/>
      <c r="F59" s="194"/>
      <c r="G59" s="194"/>
      <c r="H59" s="194"/>
      <c r="I59" s="194"/>
    </row>
    <row r="60" spans="1:28" x14ac:dyDescent="0.25">
      <c r="A60" s="181"/>
      <c r="B60" s="181"/>
      <c r="C60" s="181"/>
      <c r="D60" s="181"/>
      <c r="E60" s="181"/>
      <c r="F60" s="181"/>
      <c r="G60" s="181"/>
      <c r="H60" s="181"/>
      <c r="I60" s="181"/>
    </row>
    <row r="61" spans="1:28" x14ac:dyDescent="0.25">
      <c r="A61" s="181"/>
      <c r="B61" s="181"/>
      <c r="C61" s="181"/>
      <c r="D61" s="181"/>
      <c r="E61" s="181"/>
      <c r="F61" s="181"/>
      <c r="G61" s="181"/>
      <c r="H61" s="181"/>
      <c r="I61" s="181"/>
    </row>
    <row r="62" spans="1:28" x14ac:dyDescent="0.25">
      <c r="A62" s="181"/>
      <c r="B62" s="181"/>
      <c r="C62" s="181"/>
      <c r="D62" s="181"/>
      <c r="E62" s="181"/>
      <c r="F62" s="181"/>
      <c r="G62" s="181"/>
      <c r="H62" s="181"/>
      <c r="I62" s="181"/>
    </row>
    <row r="63" spans="1:28" x14ac:dyDescent="0.25">
      <c r="A63" s="181"/>
      <c r="B63" s="181"/>
      <c r="C63" s="181"/>
      <c r="D63" s="181"/>
      <c r="E63" s="181"/>
      <c r="F63" s="181"/>
      <c r="G63" s="181"/>
      <c r="H63" s="181"/>
      <c r="I63" s="181"/>
    </row>
    <row r="64" spans="1:28" x14ac:dyDescent="0.25">
      <c r="A64" s="181"/>
      <c r="B64" s="181"/>
      <c r="C64" s="181"/>
      <c r="D64" s="181"/>
      <c r="E64" s="181"/>
      <c r="F64" s="181"/>
      <c r="G64" s="181"/>
      <c r="H64" s="181"/>
      <c r="I64" s="181"/>
    </row>
    <row r="65" spans="1:18" x14ac:dyDescent="0.25">
      <c r="A65" s="181"/>
      <c r="B65" s="181"/>
      <c r="C65" s="181"/>
      <c r="D65" s="181"/>
      <c r="E65" s="181"/>
      <c r="F65" s="181"/>
      <c r="G65" s="181"/>
      <c r="H65" s="181"/>
      <c r="I65" s="181"/>
    </row>
    <row r="66" spans="1:18" x14ac:dyDescent="0.25">
      <c r="A66" s="181"/>
      <c r="B66" s="181"/>
      <c r="C66" s="181"/>
      <c r="D66" s="181"/>
      <c r="E66" s="181"/>
      <c r="F66" s="181"/>
      <c r="G66" s="181"/>
      <c r="H66" s="181"/>
      <c r="I66" s="181"/>
    </row>
    <row r="67" spans="1:18" x14ac:dyDescent="0.25">
      <c r="A67" s="181"/>
      <c r="B67" s="181"/>
      <c r="C67" s="181"/>
      <c r="D67" s="181"/>
      <c r="E67" s="181"/>
      <c r="F67" s="181"/>
      <c r="G67" s="181"/>
      <c r="H67" s="181"/>
      <c r="I67" s="181"/>
    </row>
    <row r="68" spans="1:18" x14ac:dyDescent="0.25">
      <c r="A68" s="181"/>
      <c r="B68" s="181"/>
      <c r="C68" s="181"/>
      <c r="D68" s="181"/>
      <c r="E68" s="181"/>
      <c r="F68" s="181"/>
      <c r="G68" s="181"/>
      <c r="H68" s="181"/>
      <c r="I68" s="181"/>
    </row>
    <row r="69" spans="1:18" x14ac:dyDescent="0.25">
      <c r="A69" s="181"/>
      <c r="B69" s="181"/>
      <c r="C69" s="181"/>
      <c r="D69" s="181"/>
      <c r="E69" s="181"/>
      <c r="F69" s="181"/>
      <c r="G69" s="181"/>
      <c r="H69" s="181"/>
      <c r="I69" s="181"/>
    </row>
    <row r="70" spans="1:18" x14ac:dyDescent="0.25">
      <c r="A70" s="181"/>
      <c r="B70" s="181"/>
      <c r="C70" s="181"/>
      <c r="D70" s="181"/>
      <c r="E70" s="181"/>
      <c r="F70" s="181"/>
      <c r="G70" s="181"/>
      <c r="H70" s="181"/>
      <c r="I70" s="181"/>
    </row>
    <row r="71" spans="1:18" x14ac:dyDescent="0.25">
      <c r="A71" s="181"/>
      <c r="B71" s="181"/>
      <c r="C71" s="181"/>
      <c r="D71" s="181"/>
      <c r="E71" s="181"/>
      <c r="F71" s="181"/>
      <c r="G71" s="181"/>
      <c r="H71" s="181"/>
      <c r="I71" s="181"/>
    </row>
    <row r="72" spans="1:18" x14ac:dyDescent="0.25">
      <c r="A72" s="181"/>
      <c r="B72" s="181"/>
      <c r="C72" s="181"/>
      <c r="D72" s="181"/>
      <c r="E72" s="181"/>
      <c r="F72" s="181"/>
      <c r="G72" s="181"/>
      <c r="H72" s="181"/>
      <c r="I72" s="181"/>
    </row>
    <row r="73" spans="1:18" x14ac:dyDescent="0.25">
      <c r="A73" s="181"/>
      <c r="B73" s="181"/>
      <c r="C73" s="181"/>
      <c r="D73" s="181"/>
      <c r="E73" s="181"/>
      <c r="F73" s="181"/>
      <c r="G73" s="181"/>
      <c r="H73" s="181"/>
      <c r="I73" s="181"/>
    </row>
    <row r="74" spans="1:18" x14ac:dyDescent="0.25">
      <c r="A74" s="181"/>
      <c r="B74" s="181"/>
      <c r="C74" s="181"/>
      <c r="D74" s="181"/>
      <c r="E74" s="181"/>
      <c r="F74" s="181"/>
      <c r="G74" s="181"/>
      <c r="H74" s="181"/>
      <c r="I74" s="181"/>
    </row>
    <row r="75" spans="1:18" x14ac:dyDescent="0.25">
      <c r="A75" s="181"/>
      <c r="B75" s="181"/>
      <c r="C75" s="181"/>
      <c r="D75" s="181"/>
      <c r="E75" s="181"/>
      <c r="F75" s="181"/>
      <c r="G75" s="181"/>
      <c r="H75" s="181"/>
      <c r="I75" s="181"/>
    </row>
    <row r="77" spans="1:18" x14ac:dyDescent="0.25">
      <c r="A77" s="4"/>
      <c r="B77" s="4"/>
      <c r="C77" s="4"/>
      <c r="D77" s="4"/>
      <c r="E77" s="4"/>
      <c r="F77" s="4"/>
      <c r="G77" s="4"/>
      <c r="H77" s="4"/>
      <c r="I77" s="4"/>
      <c r="J77" s="4"/>
      <c r="K77" s="4"/>
      <c r="L77" s="4"/>
      <c r="M77" s="4"/>
      <c r="N77" s="4"/>
      <c r="O77" s="4"/>
      <c r="P77" s="4"/>
      <c r="Q77" s="4"/>
      <c r="R77" s="43"/>
    </row>
    <row r="78" spans="1:18" x14ac:dyDescent="0.25">
      <c r="A78" s="4"/>
      <c r="B78" s="4"/>
      <c r="C78" s="4"/>
      <c r="D78" s="4"/>
      <c r="E78" s="4"/>
      <c r="F78" s="4"/>
      <c r="G78" s="4"/>
      <c r="H78" s="4"/>
      <c r="I78" s="4"/>
      <c r="J78" s="4"/>
      <c r="K78" s="4"/>
      <c r="L78" s="4"/>
      <c r="M78" s="4"/>
      <c r="N78" s="4"/>
      <c r="O78" s="4"/>
      <c r="P78" s="4"/>
      <c r="Q78" s="4"/>
      <c r="R78" s="43"/>
    </row>
  </sheetData>
  <mergeCells count="13">
    <mergeCell ref="A60:I75"/>
    <mergeCell ref="A53:C57"/>
    <mergeCell ref="D53:I57"/>
    <mergeCell ref="O1:V1"/>
    <mergeCell ref="P4:AB4"/>
    <mergeCell ref="W1:Y1"/>
    <mergeCell ref="Z1:AB1"/>
    <mergeCell ref="J1:N1"/>
    <mergeCell ref="A1:I1"/>
    <mergeCell ref="A4:N11"/>
    <mergeCell ref="Q13:AB13"/>
    <mergeCell ref="D13:O13"/>
    <mergeCell ref="A59:I59"/>
  </mergeCells>
  <conditionalFormatting sqref="Q24:AB32">
    <cfRule type="expression" dxfId="12" priority="5">
      <formula>ISNA(Q24)</formula>
    </cfRule>
  </conditionalFormatting>
  <conditionalFormatting sqref="D24:O32 D15:O21">
    <cfRule type="expression" dxfId="11" priority="4">
      <formula>ISNA(D15)</formula>
    </cfRule>
  </conditionalFormatting>
  <conditionalFormatting sqref="D15:O21">
    <cfRule type="cellIs" dxfId="10" priority="3" operator="equal">
      <formula>0</formula>
    </cfRule>
  </conditionalFormatting>
  <conditionalFormatting sqref="Q15:AB21">
    <cfRule type="expression" dxfId="9" priority="2">
      <formula>ISNA(Q15)</formula>
    </cfRule>
  </conditionalFormatting>
  <conditionalFormatting sqref="Q15:AB21">
    <cfRule type="cellIs" dxfId="8" priority="1" operator="equal">
      <formula>0</formula>
    </cfRule>
  </conditionalFormatting>
  <pageMargins left="0.11811023622047245" right="0.11811023622047245" top="0.15748031496062992" bottom="0.15748031496062992" header="0.11811023622047245" footer="0.11811023622047245"/>
  <pageSetup paperSize="8"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68"/>
  <sheetViews>
    <sheetView showGridLines="0" zoomScaleNormal="100" workbookViewId="0">
      <selection activeCell="Y17" sqref="Y17"/>
    </sheetView>
  </sheetViews>
  <sheetFormatPr baseColWidth="10" defaultRowHeight="15" x14ac:dyDescent="0.25"/>
  <cols>
    <col min="1" max="1" width="34.42578125" style="4" customWidth="1"/>
    <col min="2" max="16" width="11.42578125" style="4"/>
    <col min="17" max="28" width="11.42578125" style="43"/>
    <col min="29" max="16384" width="11.42578125" style="4"/>
  </cols>
  <sheetData>
    <row r="1" spans="1:31" ht="36" customHeight="1" x14ac:dyDescent="0.25">
      <c r="A1" s="190" t="s">
        <v>8</v>
      </c>
      <c r="B1" s="190"/>
      <c r="C1" s="190"/>
      <c r="D1" s="190"/>
      <c r="E1" s="190"/>
      <c r="F1" s="190"/>
      <c r="G1" s="190"/>
      <c r="H1" s="190"/>
      <c r="I1" s="190"/>
      <c r="J1" s="183" t="str">
        <f>'Page de garde'!A1</f>
        <v>Tableau de bord de suivi mensuel</v>
      </c>
      <c r="K1" s="183"/>
      <c r="L1" s="183"/>
      <c r="M1" s="183"/>
      <c r="N1" s="183"/>
      <c r="O1" s="183" t="str">
        <f>'Page de garde'!B4</f>
        <v>CH xxx</v>
      </c>
      <c r="P1" s="183"/>
      <c r="Q1" s="183"/>
      <c r="R1" s="183"/>
      <c r="S1" s="183"/>
      <c r="T1" s="183"/>
      <c r="U1" s="183"/>
      <c r="V1" s="183"/>
      <c r="W1" s="183" t="s">
        <v>97</v>
      </c>
      <c r="X1" s="183"/>
      <c r="Y1" s="187"/>
      <c r="Z1" s="188" t="str">
        <f>'Page de garde'!E12 &amp;" "&amp;'Page de garde'!E9</f>
        <v>mai 2019</v>
      </c>
      <c r="AA1" s="189"/>
      <c r="AB1" s="189"/>
    </row>
    <row r="2" spans="1:31" ht="15.75" thickBot="1" x14ac:dyDescent="0.3"/>
    <row r="3" spans="1:31" s="6" customFormat="1" ht="15.75" customHeight="1" x14ac:dyDescent="0.25">
      <c r="A3" s="191" t="s">
        <v>114</v>
      </c>
      <c r="B3" s="191"/>
      <c r="C3" s="191"/>
      <c r="D3" s="191"/>
      <c r="E3" s="191"/>
      <c r="F3" s="191"/>
      <c r="G3" s="191"/>
      <c r="H3" s="191"/>
      <c r="I3" s="191"/>
      <c r="J3" s="191"/>
      <c r="K3" s="191"/>
      <c r="L3" s="191"/>
      <c r="N3" s="184" t="str">
        <f>"Ecart avec les données de l'année " &amp; année-1</f>
        <v>Ecart avec les données de l'année 2018</v>
      </c>
      <c r="O3" s="185"/>
      <c r="P3" s="185"/>
      <c r="Q3" s="185"/>
      <c r="R3" s="185"/>
      <c r="S3" s="185"/>
      <c r="T3" s="185"/>
      <c r="U3" s="185"/>
      <c r="V3" s="185"/>
      <c r="W3" s="185"/>
      <c r="X3" s="185"/>
      <c r="Y3" s="185"/>
      <c r="Z3" s="185"/>
      <c r="AA3" s="185"/>
      <c r="AB3" s="186"/>
      <c r="AC3" s="43"/>
      <c r="AE3" s="4"/>
    </row>
    <row r="4" spans="1:31" s="6" customFormat="1" ht="30" x14ac:dyDescent="0.25">
      <c r="A4" s="191"/>
      <c r="B4" s="191"/>
      <c r="C4" s="191"/>
      <c r="D4" s="191"/>
      <c r="E4" s="191"/>
      <c r="F4" s="191"/>
      <c r="G4" s="191"/>
      <c r="H4" s="191"/>
      <c r="I4" s="191"/>
      <c r="J4" s="191"/>
      <c r="K4" s="191"/>
      <c r="L4" s="191"/>
      <c r="N4" s="195"/>
      <c r="O4" s="196"/>
      <c r="P4" s="196"/>
      <c r="Q4" s="60" t="str">
        <f>"à fin janv " &amp; année</f>
        <v>à fin janv 2019</v>
      </c>
      <c r="R4" s="60" t="str">
        <f>"à fin fév " &amp; année</f>
        <v>à fin fév 2019</v>
      </c>
      <c r="S4" s="60" t="str">
        <f>"à fin mars " &amp; année</f>
        <v>à fin mars 2019</v>
      </c>
      <c r="T4" s="60" t="str">
        <f>"à fin avril " &amp; année</f>
        <v>à fin avril 2019</v>
      </c>
      <c r="U4" s="60" t="str">
        <f>"à fin mai " &amp; année</f>
        <v>à fin mai 2019</v>
      </c>
      <c r="V4" s="60" t="str">
        <f>"à fin juin " &amp; année</f>
        <v>à fin juin 2019</v>
      </c>
      <c r="W4" s="60" t="str">
        <f>"à fin juil " &amp; année</f>
        <v>à fin juil 2019</v>
      </c>
      <c r="X4" s="60" t="str">
        <f>"à fin août " &amp; année</f>
        <v>à fin août 2019</v>
      </c>
      <c r="Y4" s="60" t="str">
        <f>"à fin sept " &amp; année</f>
        <v>à fin sept 2019</v>
      </c>
      <c r="Z4" s="60" t="str">
        <f>"à fin oct " &amp; année</f>
        <v>à fin oct 2019</v>
      </c>
      <c r="AA4" s="60" t="str">
        <f>"à fin nov " &amp; année</f>
        <v>à fin nov 2019</v>
      </c>
      <c r="AB4" s="61" t="str">
        <f>"à fin déc " &amp; année</f>
        <v>à fin déc 2019</v>
      </c>
      <c r="AC4" s="43"/>
      <c r="AD4" s="4"/>
      <c r="AE4" s="4"/>
    </row>
    <row r="5" spans="1:31" s="6" customFormat="1" x14ac:dyDescent="0.25">
      <c r="A5" s="191"/>
      <c r="B5" s="191"/>
      <c r="C5" s="191"/>
      <c r="D5" s="191"/>
      <c r="E5" s="191"/>
      <c r="F5" s="191"/>
      <c r="G5" s="191"/>
      <c r="H5" s="191"/>
      <c r="I5" s="191"/>
      <c r="J5" s="191"/>
      <c r="K5" s="191"/>
      <c r="L5" s="191"/>
      <c r="N5" s="207" t="s">
        <v>104</v>
      </c>
      <c r="O5" s="208"/>
      <c r="P5" s="208"/>
      <c r="Q5" s="93" t="str">
        <f>IFERROR((Q21-'Base données mensuelles n-1'!B35)/'Base données mensuelles n-1'!B35,"-")</f>
        <v>-</v>
      </c>
      <c r="R5" s="93" t="str">
        <f>IFERROR((R21-'Base données mensuelles n-1'!C35)/'Base données mensuelles n-1'!C35,"-")</f>
        <v>-</v>
      </c>
      <c r="S5" s="93" t="str">
        <f>IFERROR((S21-'Base données mensuelles n-1'!D35)/'Base données mensuelles n-1'!D35,"-")</f>
        <v>-</v>
      </c>
      <c r="T5" s="93" t="str">
        <f>IFERROR((T21-'Base données mensuelles n-1'!E35)/'Base données mensuelles n-1'!E35,"-")</f>
        <v>-</v>
      </c>
      <c r="U5" s="93" t="str">
        <f>IFERROR((U21-'Base données mensuelles n-1'!F35)/'Base données mensuelles n-1'!F35, "-")</f>
        <v>-</v>
      </c>
      <c r="V5" s="93" t="str">
        <f>IFERROR((V21-'Base données mensuelles n-1'!G35)/'Base données mensuelles n-1'!G35, "-")</f>
        <v>-</v>
      </c>
      <c r="W5" s="93" t="str">
        <f>IFERROR((W21-'Base données mensuelles n-1'!H35)/'Base données mensuelles n-1'!H35, "-")</f>
        <v>-</v>
      </c>
      <c r="X5" s="93" t="str">
        <f>IFERROR((X21-'Base données mensuelles n-1'!I35)/'Base données mensuelles n-1'!I35, "-")</f>
        <v>-</v>
      </c>
      <c r="Y5" s="93" t="str">
        <f>IFERROR((Y21-'Base données mensuelles n-1'!J35)/'Base données mensuelles n-1'!J35, "-")</f>
        <v>-</v>
      </c>
      <c r="Z5" s="93" t="str">
        <f>IFERROR((Z21-'Base données mensuelles n-1'!K35)/'Base données mensuelles n-1'!K35, "-")</f>
        <v>-</v>
      </c>
      <c r="AA5" s="93" t="str">
        <f>IFERROR((AA21-'Base données mensuelles n-1'!L35)/'Base données mensuelles n-1'!L35, "-")</f>
        <v>-</v>
      </c>
      <c r="AB5" s="94" t="str">
        <f>IFERROR((AB21-'Base données mensuelles n-1'!M35)/'Base données mensuelles n-1'!M35, "-")</f>
        <v>-</v>
      </c>
      <c r="AC5" s="43"/>
      <c r="AD5" s="4"/>
      <c r="AE5" s="4"/>
    </row>
    <row r="6" spans="1:31" s="6" customFormat="1" x14ac:dyDescent="0.25">
      <c r="A6" s="191"/>
      <c r="B6" s="191"/>
      <c r="C6" s="191"/>
      <c r="D6" s="191"/>
      <c r="E6" s="191"/>
      <c r="F6" s="191"/>
      <c r="G6" s="191"/>
      <c r="H6" s="191"/>
      <c r="I6" s="191"/>
      <c r="J6" s="191"/>
      <c r="K6" s="191"/>
      <c r="L6" s="191"/>
      <c r="N6" s="207" t="s">
        <v>105</v>
      </c>
      <c r="O6" s="208"/>
      <c r="P6" s="208"/>
      <c r="Q6" s="93" t="str">
        <f>IFERROR((Q35-'Base données mensuelles n-1'!B36)/'Base données mensuelles n-1'!B36,"-")</f>
        <v>-</v>
      </c>
      <c r="R6" s="93" t="str">
        <f>IFERROR((R35-'Base données mensuelles n-1'!C36)/'Base données mensuelles n-1'!C36,"-")</f>
        <v>-</v>
      </c>
      <c r="S6" s="93" t="str">
        <f>IFERROR((S35-'Base données mensuelles n-1'!D36)/'Base données mensuelles n-1'!D36,"-")</f>
        <v>-</v>
      </c>
      <c r="T6" s="93" t="str">
        <f>IFERROR((T35-'Base données mensuelles n-1'!E36)/'Base données mensuelles n-1'!E36,"-")</f>
        <v>-</v>
      </c>
      <c r="U6" s="93" t="str">
        <f>IFERROR((U35-'Base données mensuelles n-1'!F36)/'Base données mensuelles n-1'!F36,"-")</f>
        <v>-</v>
      </c>
      <c r="V6" s="93" t="str">
        <f>IFERROR((V35-'Base données mensuelles n-1'!G36)/'Base données mensuelles n-1'!G36,"-")</f>
        <v>-</v>
      </c>
      <c r="W6" s="93" t="str">
        <f>IFERROR((W35-'Base données mensuelles n-1'!H36)/'Base données mensuelles n-1'!H36,"-")</f>
        <v>-</v>
      </c>
      <c r="X6" s="93" t="str">
        <f>IFERROR((X35-'Base données mensuelles n-1'!I36)/'Base données mensuelles n-1'!I36,"-")</f>
        <v>-</v>
      </c>
      <c r="Y6" s="93" t="str">
        <f>IFERROR((Y35-'Base données mensuelles n-1'!J36)/'Base données mensuelles n-1'!J36,"-")</f>
        <v>-</v>
      </c>
      <c r="Z6" s="93" t="str">
        <f>IFERROR((Z35-'Base données mensuelles n-1'!K36)/'Base données mensuelles n-1'!K36,"-")</f>
        <v>-</v>
      </c>
      <c r="AA6" s="93" t="str">
        <f>IFERROR((AA35-'Base données mensuelles n-1'!L36)/'Base données mensuelles n-1'!L36,"-")</f>
        <v>-</v>
      </c>
      <c r="AB6" s="94" t="str">
        <f>IFERROR((AB35-'Base données mensuelles n-1'!M36)/'Base données mensuelles n-1'!M36,"-")</f>
        <v>-</v>
      </c>
      <c r="AC6" s="43"/>
      <c r="AD6" s="4"/>
      <c r="AE6" s="4"/>
    </row>
    <row r="7" spans="1:31" s="6" customFormat="1" ht="29.25" customHeight="1" x14ac:dyDescent="0.25">
      <c r="A7" s="191"/>
      <c r="B7" s="191"/>
      <c r="C7" s="191"/>
      <c r="D7" s="191"/>
      <c r="E7" s="191"/>
      <c r="F7" s="191"/>
      <c r="G7" s="191"/>
      <c r="H7" s="191"/>
      <c r="I7" s="191"/>
      <c r="J7" s="191"/>
      <c r="K7" s="191"/>
      <c r="L7" s="191"/>
      <c r="N7" s="207" t="s">
        <v>68</v>
      </c>
      <c r="O7" s="208"/>
      <c r="P7" s="208"/>
      <c r="Q7" s="93" t="str">
        <f>IFERROR((Q28-'Base données mensuelles n-1'!B37)/'Base données mensuelles n-1'!B37,"-")</f>
        <v>-</v>
      </c>
      <c r="R7" s="93" t="str">
        <f>IFERROR((R28-'Base données mensuelles n-1'!C37)/'Base données mensuelles n-1'!C37, "-")</f>
        <v>-</v>
      </c>
      <c r="S7" s="93" t="str">
        <f>IFERROR((S28-'Base données mensuelles n-1'!D37)/'Base données mensuelles n-1'!D37, "-")</f>
        <v>-</v>
      </c>
      <c r="T7" s="93" t="str">
        <f>IFERROR((T28-'Base données mensuelles n-1'!E37)/'Base données mensuelles n-1'!E37, "-")</f>
        <v>-</v>
      </c>
      <c r="U7" s="93" t="str">
        <f>IFERROR((U28-'Base données mensuelles n-1'!F37)/'Base données mensuelles n-1'!F37, "-")</f>
        <v>-</v>
      </c>
      <c r="V7" s="93" t="str">
        <f>IFERROR((V28-'Base données mensuelles n-1'!G37)/'Base données mensuelles n-1'!G37, "-")</f>
        <v>-</v>
      </c>
      <c r="W7" s="93" t="str">
        <f>IFERROR((W28-'Base données mensuelles n-1'!H37)/'Base données mensuelles n-1'!H37, "-")</f>
        <v>-</v>
      </c>
      <c r="X7" s="93" t="str">
        <f>IFERROR((X28-'Base données mensuelles n-1'!I37)/'Base données mensuelles n-1'!I37, "-")</f>
        <v>-</v>
      </c>
      <c r="Y7" s="93" t="str">
        <f>IFERROR((Y28-'Base données mensuelles n-1'!J37)/'Base données mensuelles n-1'!J37, "-")</f>
        <v>-</v>
      </c>
      <c r="Z7" s="93" t="str">
        <f>IFERROR((Z28-'Base données mensuelles n-1'!K37)/'Base données mensuelles n-1'!K37, "-")</f>
        <v>-</v>
      </c>
      <c r="AA7" s="93" t="str">
        <f>IFERROR((AA28-'Base données mensuelles n-1'!L37)/'Base données mensuelles n-1'!L37, "-")</f>
        <v>-</v>
      </c>
      <c r="AB7" s="94" t="str">
        <f>IFERROR((AB28-'Base données mensuelles n-1'!M37)/'Base données mensuelles n-1'!M37, "-")</f>
        <v>-</v>
      </c>
      <c r="AC7" s="43"/>
      <c r="AD7" s="4"/>
      <c r="AE7" s="4"/>
    </row>
    <row r="8" spans="1:31" s="6" customFormat="1" x14ac:dyDescent="0.25">
      <c r="A8" s="191"/>
      <c r="B8" s="191"/>
      <c r="C8" s="191"/>
      <c r="D8" s="191"/>
      <c r="E8" s="191"/>
      <c r="F8" s="191"/>
      <c r="G8" s="191"/>
      <c r="H8" s="191"/>
      <c r="I8" s="191"/>
      <c r="J8" s="191"/>
      <c r="K8" s="191"/>
      <c r="L8" s="191"/>
      <c r="N8" s="209" t="s">
        <v>69</v>
      </c>
      <c r="O8" s="210"/>
      <c r="P8" s="210"/>
      <c r="Q8" s="95" t="str">
        <f>IFERROR((Q24-'Base données mensuelles n-1'!B38)/'Base données mensuelles n-1'!B38, "-")</f>
        <v>-</v>
      </c>
      <c r="R8" s="95" t="str">
        <f>IFERROR((R24-'Base données mensuelles n-1'!C38)/'Base données mensuelles n-1'!C38, "-")</f>
        <v>-</v>
      </c>
      <c r="S8" s="95" t="str">
        <f>IFERROR((S24-'Base données mensuelles n-1'!D38)/'Base données mensuelles n-1'!D38, "-")</f>
        <v>-</v>
      </c>
      <c r="T8" s="95" t="str">
        <f>IFERROR((T24-'Base données mensuelles n-1'!E38)/'Base données mensuelles n-1'!E38, "-")</f>
        <v>-</v>
      </c>
      <c r="U8" s="95" t="str">
        <f>IFERROR((U24-'Base données mensuelles n-1'!F38)/'Base données mensuelles n-1'!F38, "-")</f>
        <v>-</v>
      </c>
      <c r="V8" s="95" t="str">
        <f>IFERROR((V24-'Base données mensuelles n-1'!G38)/'Base données mensuelles n-1'!G38, "-")</f>
        <v>-</v>
      </c>
      <c r="W8" s="95" t="str">
        <f>IFERROR((W24-'Base données mensuelles n-1'!H38)/'Base données mensuelles n-1'!H38, "-")</f>
        <v>-</v>
      </c>
      <c r="X8" s="95" t="str">
        <f>IFERROR((X24-'Base données mensuelles n-1'!I38)/'Base données mensuelles n-1'!I38, "-")</f>
        <v>-</v>
      </c>
      <c r="Y8" s="95" t="str">
        <f>IFERROR((Y24-'Base données mensuelles n-1'!J38)/'Base données mensuelles n-1'!J38, "-")</f>
        <v>-</v>
      </c>
      <c r="Z8" s="95" t="str">
        <f>IFERROR((Z24-'Base données mensuelles n-1'!K38)/'Base données mensuelles n-1'!K38, "-")</f>
        <v>-</v>
      </c>
      <c r="AA8" s="95" t="str">
        <f>IFERROR((AA24-'Base données mensuelles n-1'!L38)/'Base données mensuelles n-1'!L38, "-")</f>
        <v>-</v>
      </c>
      <c r="AB8" s="96" t="str">
        <f>IFERROR((AB24-'Base données mensuelles n-1'!M38)/'Base données mensuelles n-1'!M38, "-")</f>
        <v>-</v>
      </c>
      <c r="AC8" s="43"/>
      <c r="AD8" s="4"/>
      <c r="AE8" s="4"/>
    </row>
    <row r="9" spans="1:31" s="6" customFormat="1" x14ac:dyDescent="0.25">
      <c r="A9" s="191"/>
      <c r="B9" s="191"/>
      <c r="C9" s="191"/>
      <c r="D9" s="191"/>
      <c r="E9" s="191"/>
      <c r="F9" s="191"/>
      <c r="G9" s="191"/>
      <c r="H9" s="191"/>
      <c r="I9" s="191"/>
      <c r="J9" s="191"/>
      <c r="K9" s="191"/>
      <c r="L9" s="191"/>
      <c r="N9" s="209" t="s">
        <v>70</v>
      </c>
      <c r="O9" s="210"/>
      <c r="P9" s="210"/>
      <c r="Q9" s="95" t="str">
        <f>IFERROR((Q26-'Base données mensuelles n-1'!B39)/'Base données mensuelles n-1'!B39, "-")</f>
        <v>-</v>
      </c>
      <c r="R9" s="95" t="str">
        <f>IFERROR((R26-'Base données mensuelles n-1'!C39)/'Base données mensuelles n-1'!C39, "-")</f>
        <v>-</v>
      </c>
      <c r="S9" s="95" t="str">
        <f>IFERROR((S26-'Base données mensuelles n-1'!D39)/'Base données mensuelles n-1'!D39, "-")</f>
        <v>-</v>
      </c>
      <c r="T9" s="95" t="str">
        <f>IFERROR((T26-'Base données mensuelles n-1'!E39)/'Base données mensuelles n-1'!E39, "-")</f>
        <v>-</v>
      </c>
      <c r="U9" s="95" t="str">
        <f>IFERROR((U26-'Base données mensuelles n-1'!F39)/'Base données mensuelles n-1'!F39, "-")</f>
        <v>-</v>
      </c>
      <c r="V9" s="95" t="str">
        <f>IFERROR((V26-'Base données mensuelles n-1'!G39)/'Base données mensuelles n-1'!G39, "-")</f>
        <v>-</v>
      </c>
      <c r="W9" s="95" t="str">
        <f>IFERROR((W26-'Base données mensuelles n-1'!H39)/'Base données mensuelles n-1'!H39, "-")</f>
        <v>-</v>
      </c>
      <c r="X9" s="95" t="str">
        <f>IFERROR((X26-'Base données mensuelles n-1'!I39)/'Base données mensuelles n-1'!I39, "-")</f>
        <v>-</v>
      </c>
      <c r="Y9" s="95" t="str">
        <f>IFERROR((Y26-'Base données mensuelles n-1'!J39)/'Base données mensuelles n-1'!J39, "-")</f>
        <v>-</v>
      </c>
      <c r="Z9" s="95" t="str">
        <f>IFERROR((Z26-'Base données mensuelles n-1'!K39)/'Base données mensuelles n-1'!K39, "-")</f>
        <v>-</v>
      </c>
      <c r="AA9" s="95" t="str">
        <f>IFERROR((AA26-'Base données mensuelles n-1'!L39)/'Base données mensuelles n-1'!L39, "-")</f>
        <v>-</v>
      </c>
      <c r="AB9" s="96" t="str">
        <f>IFERROR((AB26-'Base données mensuelles n-1'!M39)/'Base données mensuelles n-1'!M39, "-")</f>
        <v>-</v>
      </c>
      <c r="AC9" s="43"/>
      <c r="AD9" s="4"/>
      <c r="AE9" s="4"/>
    </row>
    <row r="10" spans="1:31" s="6" customFormat="1" ht="33.75" customHeight="1" thickBot="1" x14ac:dyDescent="0.3">
      <c r="A10" s="191"/>
      <c r="B10" s="191"/>
      <c r="C10" s="191"/>
      <c r="D10" s="191"/>
      <c r="E10" s="191"/>
      <c r="F10" s="191"/>
      <c r="G10" s="191"/>
      <c r="H10" s="191"/>
      <c r="I10" s="191"/>
      <c r="J10" s="191"/>
      <c r="K10" s="191"/>
      <c r="L10" s="191"/>
      <c r="N10" s="211" t="s">
        <v>71</v>
      </c>
      <c r="O10" s="212"/>
      <c r="P10" s="212"/>
      <c r="Q10" s="97" t="str">
        <f>IFERROR((Q31-'Base données mensuelles n-1'!B40)/'Base données mensuelles n-1'!B40, "-")</f>
        <v>-</v>
      </c>
      <c r="R10" s="97" t="str">
        <f>IFERROR((R31-'Base données mensuelles n-1'!C40)/'Base données mensuelles n-1'!C40, "-")</f>
        <v>-</v>
      </c>
      <c r="S10" s="97" t="str">
        <f>IFERROR((S31-'Base données mensuelles n-1'!D40)/'Base données mensuelles n-1'!D40, "-")</f>
        <v>-</v>
      </c>
      <c r="T10" s="97" t="str">
        <f>IFERROR((T31-'Base données mensuelles n-1'!E40)/'Base données mensuelles n-1'!E40, "-")</f>
        <v>-</v>
      </c>
      <c r="U10" s="97" t="str">
        <f>IFERROR((U31-'Base données mensuelles n-1'!F40)/'Base données mensuelles n-1'!F40, "-")</f>
        <v>-</v>
      </c>
      <c r="V10" s="97" t="str">
        <f>IFERROR((V31-'Base données mensuelles n-1'!G40)/'Base données mensuelles n-1'!G40, "-")</f>
        <v>-</v>
      </c>
      <c r="W10" s="97" t="str">
        <f>IFERROR((W31-'Base données mensuelles n-1'!H40)/'Base données mensuelles n-1'!H40, "-")</f>
        <v>-</v>
      </c>
      <c r="X10" s="97" t="str">
        <f>IFERROR((X31-'Base données mensuelles n-1'!I40)/'Base données mensuelles n-1'!I40, "-")</f>
        <v>-</v>
      </c>
      <c r="Y10" s="97" t="str">
        <f>IFERROR((Y31-'Base données mensuelles n-1'!J40)/'Base données mensuelles n-1'!J40, "-")</f>
        <v>-</v>
      </c>
      <c r="Z10" s="97" t="str">
        <f>IFERROR((Z31-'Base données mensuelles n-1'!K40)/'Base données mensuelles n-1'!K40, "-")</f>
        <v>-</v>
      </c>
      <c r="AA10" s="97" t="str">
        <f>IFERROR((AA31-'Base données mensuelles n-1'!L40)/'Base données mensuelles n-1'!L40, "-")</f>
        <v>-</v>
      </c>
      <c r="AB10" s="98" t="str">
        <f>IFERROR((AB31-'Base données mensuelles n-1'!M40)/'Base données mensuelles n-1'!M40, "-")</f>
        <v>-</v>
      </c>
      <c r="AC10" s="43"/>
      <c r="AD10" s="4"/>
      <c r="AE10" s="4"/>
    </row>
    <row r="11" spans="1:31" customFormat="1" ht="45.75" customHeight="1" x14ac:dyDescent="0.25">
      <c r="D11" s="193" t="s">
        <v>106</v>
      </c>
      <c r="E11" s="193"/>
      <c r="F11" s="193"/>
      <c r="G11" s="193"/>
      <c r="H11" s="193"/>
      <c r="I11" s="193"/>
      <c r="J11" s="193"/>
      <c r="K11" s="193"/>
      <c r="L11" s="193"/>
      <c r="M11" s="193"/>
      <c r="N11" s="193"/>
      <c r="O11" s="193"/>
      <c r="Q11" s="192" t="s">
        <v>107</v>
      </c>
      <c r="R11" s="192"/>
      <c r="S11" s="192"/>
      <c r="T11" s="192"/>
      <c r="U11" s="192"/>
      <c r="V11" s="192"/>
      <c r="W11" s="192"/>
      <c r="X11" s="192"/>
      <c r="Y11" s="192"/>
      <c r="Z11" s="192"/>
      <c r="AA11" s="192"/>
      <c r="AB11" s="192"/>
    </row>
    <row r="12" spans="1:31" ht="30" x14ac:dyDescent="0.25">
      <c r="A12" s="3" t="s">
        <v>27</v>
      </c>
      <c r="B12" s="49">
        <f>année-2</f>
        <v>2017</v>
      </c>
      <c r="C12" s="49">
        <f>année-1</f>
        <v>2018</v>
      </c>
      <c r="D12" s="2" t="str">
        <f>"janv "&amp;année</f>
        <v>janv 2019</v>
      </c>
      <c r="E12" s="2" t="str">
        <f>"fév "&amp;année</f>
        <v>fév 2019</v>
      </c>
      <c r="F12" s="2" t="str">
        <f>"mars "&amp;année</f>
        <v>mars 2019</v>
      </c>
      <c r="G12" s="2" t="str">
        <f>"avril " &amp;année</f>
        <v>avril 2019</v>
      </c>
      <c r="H12" s="2" t="str">
        <f>"mai "&amp;année</f>
        <v>mai 2019</v>
      </c>
      <c r="I12" s="2" t="str">
        <f>"juin " &amp;année</f>
        <v>juin 2019</v>
      </c>
      <c r="J12" s="2" t="str">
        <f>"juil "&amp;année</f>
        <v>juil 2019</v>
      </c>
      <c r="K12" s="2" t="str">
        <f>"août "&amp;année</f>
        <v>août 2019</v>
      </c>
      <c r="L12" s="2" t="str">
        <f>"sept "&amp;année</f>
        <v>sept 2019</v>
      </c>
      <c r="M12" s="2" t="str">
        <f>"oct " &amp;année</f>
        <v>oct 2019</v>
      </c>
      <c r="N12" s="2" t="str">
        <f>"nov "&amp;année</f>
        <v>nov 2019</v>
      </c>
      <c r="O12" s="2" t="str">
        <f>"déc "&amp;année</f>
        <v>déc 2019</v>
      </c>
      <c r="Q12" s="57" t="str">
        <f>"janv " &amp; année</f>
        <v>janv 2019</v>
      </c>
      <c r="R12" s="57" t="str">
        <f>"janv-fév " &amp; année</f>
        <v>janv-fév 2019</v>
      </c>
      <c r="S12" s="57" t="str">
        <f>"janv-mars " &amp; année</f>
        <v>janv-mars 2019</v>
      </c>
      <c r="T12" s="57" t="str">
        <f>"janv-avril " &amp; année</f>
        <v>janv-avril 2019</v>
      </c>
      <c r="U12" s="57" t="str">
        <f>"janv-mai " &amp; année</f>
        <v>janv-mai 2019</v>
      </c>
      <c r="V12" s="57" t="str">
        <f>"janv-juin " &amp; année</f>
        <v>janv-juin 2019</v>
      </c>
      <c r="W12" s="57" t="str">
        <f>"janv-juil " &amp; année</f>
        <v>janv-juil 2019</v>
      </c>
      <c r="X12" s="57" t="str">
        <f>"janv-août " &amp; année</f>
        <v>janv-août 2019</v>
      </c>
      <c r="Y12" s="57" t="str">
        <f>"janv-sept " &amp; année</f>
        <v>janv-sept 2019</v>
      </c>
      <c r="Z12" s="57" t="str">
        <f>"janv-oct " &amp; année</f>
        <v>janv-oct 2019</v>
      </c>
      <c r="AA12" s="57" t="str">
        <f>"janv-nov " &amp; année</f>
        <v>janv-nov 2019</v>
      </c>
      <c r="AB12" s="57" t="str">
        <f>"janv-déc " &amp; année</f>
        <v>janv-déc 2019</v>
      </c>
    </row>
    <row r="13" spans="1:31" x14ac:dyDescent="0.25">
      <c r="A13" s="92" t="s">
        <v>42</v>
      </c>
      <c r="B13" s="108"/>
      <c r="C13" s="108"/>
      <c r="D13" s="108"/>
      <c r="E13" s="108"/>
      <c r="F13" s="108"/>
      <c r="G13" s="108"/>
      <c r="H13" s="108"/>
      <c r="I13" s="108"/>
      <c r="J13" s="108"/>
      <c r="K13" s="108"/>
      <c r="L13" s="108"/>
      <c r="M13" s="108"/>
      <c r="N13" s="108"/>
      <c r="O13" s="108"/>
      <c r="P13" s="69"/>
      <c r="Q13" s="65" t="str">
        <f>IF(D13&gt;0,D13," ")</f>
        <v xml:space="preserve"> </v>
      </c>
      <c r="R13" s="65" t="str">
        <f>IF(E13&gt;0,E13+D13," ")</f>
        <v xml:space="preserve"> </v>
      </c>
      <c r="S13" s="65" t="str">
        <f>IF(F13&gt;0,D13+E13+F13," ")</f>
        <v xml:space="preserve"> </v>
      </c>
      <c r="T13" s="65" t="str">
        <f>IF(G13&gt;0,D13+E13+F13+G13," ")</f>
        <v xml:space="preserve"> </v>
      </c>
      <c r="U13" s="65" t="str">
        <f>IF(H13&gt;0,D13+E13+F13+G13+H13," ")</f>
        <v xml:space="preserve"> </v>
      </c>
      <c r="V13" s="65" t="str">
        <f>IF(I13&gt;0,D13+E13+F13+G13+H13+I13," ")</f>
        <v xml:space="preserve"> </v>
      </c>
      <c r="W13" s="65" t="str">
        <f>IF(J13&gt;0,D13+E13+F13+G13+H13+I13+J13," ")</f>
        <v xml:space="preserve"> </v>
      </c>
      <c r="X13" s="65" t="str">
        <f>IF(K13&gt;0,D13+E13+F13+G13+H13+I13+J13+K13," ")</f>
        <v xml:space="preserve"> </v>
      </c>
      <c r="Y13" s="65" t="str">
        <f>IF(L13&gt;0,D13+E13+F13+G13+H13+I13+J13+K13+L13," ")</f>
        <v xml:space="preserve"> </v>
      </c>
      <c r="Z13" s="65" t="str">
        <f>IF(M13&gt;0,D13+E13+F13+G13+H13+I13+J13+K13+L13+M13," ")</f>
        <v xml:space="preserve"> </v>
      </c>
      <c r="AA13" s="65" t="str">
        <f>IF(N13&gt;0,D13+E13+F13+G13+H13+I13+J13+K13+L13+M13+N13," ")</f>
        <v xml:space="preserve"> </v>
      </c>
      <c r="AB13" s="65" t="str">
        <f>IF(O13&gt;0,D13+E13+F13+G13+H13+I13+J13+K13+L13+M13+N13+O13," ")</f>
        <v xml:space="preserve"> </v>
      </c>
    </row>
    <row r="14" spans="1:31" x14ac:dyDescent="0.25">
      <c r="A14" s="92" t="s">
        <v>43</v>
      </c>
      <c r="B14" s="108"/>
      <c r="C14" s="108"/>
      <c r="D14" s="108"/>
      <c r="E14" s="108"/>
      <c r="F14" s="108"/>
      <c r="G14" s="108"/>
      <c r="H14" s="108"/>
      <c r="I14" s="108"/>
      <c r="J14" s="108"/>
      <c r="K14" s="108"/>
      <c r="L14" s="108"/>
      <c r="M14" s="108"/>
      <c r="N14" s="108"/>
      <c r="O14" s="108"/>
      <c r="P14" s="69"/>
      <c r="Q14" s="65" t="str">
        <f t="shared" ref="Q14:Q22" si="0">IF(D14&gt;0,D14," ")</f>
        <v xml:space="preserve"> </v>
      </c>
      <c r="R14" s="65" t="str">
        <f t="shared" ref="R14:R22" si="1">IF(E14&gt;0,E14+D14," ")</f>
        <v xml:space="preserve"> </v>
      </c>
      <c r="S14" s="65" t="str">
        <f t="shared" ref="S14:S22" si="2">IF(F14&gt;0,D14+E14+F14," ")</f>
        <v xml:space="preserve"> </v>
      </c>
      <c r="T14" s="65" t="str">
        <f t="shared" ref="T14:T22" si="3">IF(G14&gt;0,D14+E14+F14+G14," ")</f>
        <v xml:space="preserve"> </v>
      </c>
      <c r="U14" s="65" t="str">
        <f t="shared" ref="U14:U22" si="4">IF(H14&gt;0,D14+E14+F14+G14+H14," ")</f>
        <v xml:space="preserve"> </v>
      </c>
      <c r="V14" s="65" t="str">
        <f t="shared" ref="V14:V22" si="5">IF(I14&gt;0,D14+E14+F14+G14+H14+I14," ")</f>
        <v xml:space="preserve"> </v>
      </c>
      <c r="W14" s="65" t="str">
        <f t="shared" ref="W14:W22" si="6">IF(J14&gt;0,D14+E14+F14+G14+H14+I14+J14," ")</f>
        <v xml:space="preserve"> </v>
      </c>
      <c r="X14" s="65" t="str">
        <f t="shared" ref="X14:X22" si="7">IF(K14&gt;0,D14+E14+F14+G14+H14+I14+J14+K14," ")</f>
        <v xml:space="preserve"> </v>
      </c>
      <c r="Y14" s="65" t="str">
        <f t="shared" ref="Y14:Y22" si="8">IF(L14&gt;0,D14+E14+F14+G14+H14+I14+J14+K14+L14," ")</f>
        <v xml:space="preserve"> </v>
      </c>
      <c r="Z14" s="65" t="str">
        <f t="shared" ref="Z14:Z22" si="9">IF(M14&gt;0,D14+E14+F14+G14+H14+I14+J14+K14+L14+M14," ")</f>
        <v xml:space="preserve"> </v>
      </c>
      <c r="AA14" s="65" t="str">
        <f t="shared" ref="AA14:AA22" si="10">IF(N14&gt;0,D14+E14+F14+G14+H14+I14+J14+K14+L14+M14+N14," ")</f>
        <v xml:space="preserve"> </v>
      </c>
      <c r="AB14" s="65" t="str">
        <f t="shared" ref="AB14:AB22" si="11">IF(O14&gt;0,D14+E14+F14+G14+H14+I14+J14+K14+L14+M14+N14+O14," ")</f>
        <v xml:space="preserve"> </v>
      </c>
    </row>
    <row r="15" spans="1:31" ht="33.75" customHeight="1" x14ac:dyDescent="0.25">
      <c r="A15" s="12" t="s">
        <v>44</v>
      </c>
      <c r="B15" s="108"/>
      <c r="C15" s="108"/>
      <c r="D15" s="108"/>
      <c r="E15" s="108"/>
      <c r="F15" s="108"/>
      <c r="G15" s="108"/>
      <c r="H15" s="108"/>
      <c r="I15" s="108"/>
      <c r="J15" s="108"/>
      <c r="K15" s="108"/>
      <c r="L15" s="108"/>
      <c r="M15" s="108"/>
      <c r="N15" s="108"/>
      <c r="O15" s="108"/>
      <c r="P15" s="69"/>
      <c r="Q15" s="64" t="str">
        <f t="shared" si="0"/>
        <v xml:space="preserve"> </v>
      </c>
      <c r="R15" s="64" t="str">
        <f t="shared" si="1"/>
        <v xml:space="preserve"> </v>
      </c>
      <c r="S15" s="64" t="str">
        <f t="shared" si="2"/>
        <v xml:space="preserve"> </v>
      </c>
      <c r="T15" s="64" t="str">
        <f t="shared" si="3"/>
        <v xml:space="preserve"> </v>
      </c>
      <c r="U15" s="64" t="str">
        <f t="shared" si="4"/>
        <v xml:space="preserve"> </v>
      </c>
      <c r="V15" s="64" t="str">
        <f t="shared" si="5"/>
        <v xml:space="preserve"> </v>
      </c>
      <c r="W15" s="64" t="str">
        <f t="shared" si="6"/>
        <v xml:space="preserve"> </v>
      </c>
      <c r="X15" s="64" t="str">
        <f t="shared" si="7"/>
        <v xml:space="preserve"> </v>
      </c>
      <c r="Y15" s="64" t="str">
        <f t="shared" si="8"/>
        <v xml:space="preserve"> </v>
      </c>
      <c r="Z15" s="64" t="str">
        <f t="shared" si="9"/>
        <v xml:space="preserve"> </v>
      </c>
      <c r="AA15" s="64" t="str">
        <f t="shared" si="10"/>
        <v xml:space="preserve"> </v>
      </c>
      <c r="AB15" s="64" t="str">
        <f t="shared" si="11"/>
        <v xml:space="preserve"> </v>
      </c>
    </row>
    <row r="16" spans="1:31" x14ac:dyDescent="0.25">
      <c r="B16" s="69"/>
      <c r="C16" s="69"/>
      <c r="D16" s="69"/>
      <c r="E16" s="69"/>
      <c r="F16" s="69"/>
      <c r="G16" s="69"/>
      <c r="H16" s="69"/>
      <c r="I16" s="69"/>
      <c r="J16" s="69"/>
      <c r="K16" s="69"/>
      <c r="L16" s="69"/>
      <c r="M16" s="69"/>
      <c r="N16" s="69"/>
      <c r="O16" s="69"/>
      <c r="P16" s="69"/>
      <c r="Q16" s="70"/>
      <c r="R16" s="70" t="str">
        <f t="shared" si="1"/>
        <v xml:space="preserve"> </v>
      </c>
      <c r="S16" s="70" t="str">
        <f t="shared" si="2"/>
        <v xml:space="preserve"> </v>
      </c>
      <c r="T16" s="70" t="str">
        <f t="shared" si="3"/>
        <v xml:space="preserve"> </v>
      </c>
      <c r="U16" s="70" t="str">
        <f t="shared" si="4"/>
        <v xml:space="preserve"> </v>
      </c>
      <c r="V16" s="70" t="str">
        <f t="shared" si="5"/>
        <v xml:space="preserve"> </v>
      </c>
      <c r="W16" s="70" t="str">
        <f t="shared" si="6"/>
        <v xml:space="preserve"> </v>
      </c>
      <c r="X16" s="70" t="str">
        <f t="shared" si="7"/>
        <v xml:space="preserve"> </v>
      </c>
      <c r="Y16" s="70" t="str">
        <f t="shared" si="8"/>
        <v xml:space="preserve"> </v>
      </c>
      <c r="Z16" s="70" t="str">
        <f t="shared" si="9"/>
        <v xml:space="preserve"> </v>
      </c>
      <c r="AA16" s="70" t="str">
        <f t="shared" si="10"/>
        <v xml:space="preserve"> </v>
      </c>
      <c r="AB16" s="70" t="str">
        <f t="shared" si="11"/>
        <v xml:space="preserve"> </v>
      </c>
    </row>
    <row r="17" spans="1:28" ht="30" x14ac:dyDescent="0.25">
      <c r="A17" s="15" t="s">
        <v>9</v>
      </c>
      <c r="B17" s="71">
        <f>B18+B19</f>
        <v>0</v>
      </c>
      <c r="C17" s="71">
        <f t="shared" ref="C17:O17" si="12">C18+C19</f>
        <v>0</v>
      </c>
      <c r="D17" s="71">
        <f t="shared" si="12"/>
        <v>0</v>
      </c>
      <c r="E17" s="71">
        <f t="shared" si="12"/>
        <v>0</v>
      </c>
      <c r="F17" s="71">
        <f t="shared" si="12"/>
        <v>0</v>
      </c>
      <c r="G17" s="71">
        <f t="shared" si="12"/>
        <v>0</v>
      </c>
      <c r="H17" s="71">
        <f t="shared" si="12"/>
        <v>0</v>
      </c>
      <c r="I17" s="71">
        <f t="shared" si="12"/>
        <v>0</v>
      </c>
      <c r="J17" s="71">
        <f t="shared" si="12"/>
        <v>0</v>
      </c>
      <c r="K17" s="71">
        <f t="shared" si="12"/>
        <v>0</v>
      </c>
      <c r="L17" s="71">
        <f t="shared" si="12"/>
        <v>0</v>
      </c>
      <c r="M17" s="71">
        <f t="shared" si="12"/>
        <v>0</v>
      </c>
      <c r="N17" s="71">
        <f t="shared" si="12"/>
        <v>0</v>
      </c>
      <c r="O17" s="71">
        <f t="shared" si="12"/>
        <v>0</v>
      </c>
      <c r="P17" s="69"/>
      <c r="Q17" s="72" t="str">
        <f t="shared" si="0"/>
        <v xml:space="preserve"> </v>
      </c>
      <c r="R17" s="72" t="str">
        <f t="shared" si="1"/>
        <v xml:space="preserve"> </v>
      </c>
      <c r="S17" s="72" t="str">
        <f t="shared" si="2"/>
        <v xml:space="preserve"> </v>
      </c>
      <c r="T17" s="72" t="str">
        <f t="shared" si="3"/>
        <v xml:space="preserve"> </v>
      </c>
      <c r="U17" s="72" t="str">
        <f t="shared" si="4"/>
        <v xml:space="preserve"> </v>
      </c>
      <c r="V17" s="72" t="str">
        <f t="shared" si="5"/>
        <v xml:space="preserve"> </v>
      </c>
      <c r="W17" s="72" t="str">
        <f t="shared" si="6"/>
        <v xml:space="preserve"> </v>
      </c>
      <c r="X17" s="72" t="str">
        <f t="shared" si="7"/>
        <v xml:space="preserve"> </v>
      </c>
      <c r="Y17" s="72" t="str">
        <f t="shared" si="8"/>
        <v xml:space="preserve"> </v>
      </c>
      <c r="Z17" s="72" t="str">
        <f t="shared" si="9"/>
        <v xml:space="preserve"> </v>
      </c>
      <c r="AA17" s="72" t="str">
        <f t="shared" si="10"/>
        <v xml:space="preserve"> </v>
      </c>
      <c r="AB17" s="72" t="str">
        <f t="shared" si="11"/>
        <v xml:space="preserve"> </v>
      </c>
    </row>
    <row r="18" spans="1:28" s="137" customFormat="1" x14ac:dyDescent="0.25">
      <c r="A18" s="141" t="s">
        <v>10</v>
      </c>
      <c r="B18" s="138"/>
      <c r="C18" s="138"/>
      <c r="D18" s="138"/>
      <c r="E18" s="138"/>
      <c r="F18" s="138"/>
      <c r="G18" s="138"/>
      <c r="H18" s="138"/>
      <c r="I18" s="138"/>
      <c r="J18" s="138"/>
      <c r="K18" s="138"/>
      <c r="L18" s="138"/>
      <c r="M18" s="138"/>
      <c r="N18" s="138"/>
      <c r="O18" s="138"/>
      <c r="P18" s="139"/>
      <c r="Q18" s="140" t="str">
        <f t="shared" si="0"/>
        <v xml:space="preserve"> </v>
      </c>
      <c r="R18" s="140" t="str">
        <f t="shared" si="1"/>
        <v xml:space="preserve"> </v>
      </c>
      <c r="S18" s="140" t="str">
        <f t="shared" si="2"/>
        <v xml:space="preserve"> </v>
      </c>
      <c r="T18" s="140" t="str">
        <f t="shared" si="3"/>
        <v xml:space="preserve"> </v>
      </c>
      <c r="U18" s="140" t="str">
        <f t="shared" si="4"/>
        <v xml:space="preserve"> </v>
      </c>
      <c r="V18" s="140" t="str">
        <f t="shared" si="5"/>
        <v xml:space="preserve"> </v>
      </c>
      <c r="W18" s="140" t="str">
        <f t="shared" si="6"/>
        <v xml:space="preserve"> </v>
      </c>
      <c r="X18" s="140" t="str">
        <f t="shared" si="7"/>
        <v xml:space="preserve"> </v>
      </c>
      <c r="Y18" s="140" t="str">
        <f t="shared" si="8"/>
        <v xml:space="preserve"> </v>
      </c>
      <c r="Z18" s="140" t="str">
        <f t="shared" si="9"/>
        <v xml:space="preserve"> </v>
      </c>
      <c r="AA18" s="140" t="str">
        <f t="shared" si="10"/>
        <v xml:space="preserve"> </v>
      </c>
      <c r="AB18" s="140" t="str">
        <f t="shared" si="11"/>
        <v xml:space="preserve"> </v>
      </c>
    </row>
    <row r="19" spans="1:28" s="137" customFormat="1" x14ac:dyDescent="0.25">
      <c r="A19" s="141" t="s">
        <v>11</v>
      </c>
      <c r="B19" s="138"/>
      <c r="C19" s="138"/>
      <c r="D19" s="138"/>
      <c r="E19" s="138"/>
      <c r="F19" s="138"/>
      <c r="G19" s="138"/>
      <c r="H19" s="138"/>
      <c r="I19" s="138"/>
      <c r="J19" s="138"/>
      <c r="K19" s="138"/>
      <c r="L19" s="138"/>
      <c r="M19" s="138"/>
      <c r="N19" s="138"/>
      <c r="O19" s="138"/>
      <c r="P19" s="139"/>
      <c r="Q19" s="140" t="str">
        <f>IF(D19&gt;0,D19," ")</f>
        <v xml:space="preserve"> </v>
      </c>
      <c r="R19" s="140" t="str">
        <f t="shared" si="1"/>
        <v xml:space="preserve"> </v>
      </c>
      <c r="S19" s="140" t="str">
        <f t="shared" si="2"/>
        <v xml:space="preserve"> </v>
      </c>
      <c r="T19" s="140" t="str">
        <f t="shared" si="3"/>
        <v xml:space="preserve"> </v>
      </c>
      <c r="U19" s="140" t="str">
        <f t="shared" si="4"/>
        <v xml:space="preserve"> </v>
      </c>
      <c r="V19" s="140" t="str">
        <f t="shared" si="5"/>
        <v xml:space="preserve"> </v>
      </c>
      <c r="W19" s="140" t="str">
        <f t="shared" si="6"/>
        <v xml:space="preserve"> </v>
      </c>
      <c r="X19" s="140" t="str">
        <f t="shared" si="7"/>
        <v xml:space="preserve"> </v>
      </c>
      <c r="Y19" s="140" t="str">
        <f t="shared" si="8"/>
        <v xml:space="preserve"> </v>
      </c>
      <c r="Z19" s="140" t="str">
        <f t="shared" si="9"/>
        <v xml:space="preserve"> </v>
      </c>
      <c r="AA19" s="140" t="str">
        <f t="shared" si="10"/>
        <v xml:space="preserve"> </v>
      </c>
      <c r="AB19" s="140" t="str">
        <f t="shared" si="11"/>
        <v xml:space="preserve"> </v>
      </c>
    </row>
    <row r="20" spans="1:28" s="137" customFormat="1" x14ac:dyDescent="0.25">
      <c r="A20" s="141"/>
      <c r="B20" s="138"/>
      <c r="C20" s="138"/>
      <c r="D20" s="138"/>
      <c r="E20" s="138"/>
      <c r="F20" s="138"/>
      <c r="G20" s="138"/>
      <c r="H20" s="138"/>
      <c r="I20" s="138"/>
      <c r="J20" s="138"/>
      <c r="K20" s="138"/>
      <c r="L20" s="138"/>
      <c r="M20" s="138"/>
      <c r="N20" s="138"/>
      <c r="O20" s="138"/>
      <c r="P20" s="139"/>
      <c r="Q20" s="140" t="str">
        <f t="shared" ref="Q20" si="13">IF(D20&gt;0,D20," ")</f>
        <v xml:space="preserve"> </v>
      </c>
      <c r="R20" s="140" t="str">
        <f t="shared" ref="R20" si="14">IF(E20&gt;0,E20+D20," ")</f>
        <v xml:space="preserve"> </v>
      </c>
      <c r="S20" s="140" t="str">
        <f t="shared" ref="S20" si="15">IF(F20&gt;0,D20+E20+F20," ")</f>
        <v xml:space="preserve"> </v>
      </c>
      <c r="T20" s="140" t="str">
        <f t="shared" ref="T20:T21" si="16">IF(G20&gt;0,D20+E20+F20+G20," ")</f>
        <v xml:space="preserve"> </v>
      </c>
      <c r="U20" s="140" t="str">
        <f t="shared" ref="U20:U21" si="17">IF(H20&gt;0,D20+E20+F20+G20+H20," ")</f>
        <v xml:space="preserve"> </v>
      </c>
      <c r="V20" s="140" t="str">
        <f t="shared" ref="V20:V21" si="18">IF(I20&gt;0,D20+E20+F20+G20+H20+I20," ")</f>
        <v xml:space="preserve"> </v>
      </c>
      <c r="W20" s="140" t="str">
        <f t="shared" ref="W20:W21" si="19">IF(J20&gt;0,D20+E20+F20+G20+H20+I20+J20," ")</f>
        <v xml:space="preserve"> </v>
      </c>
      <c r="X20" s="140" t="str">
        <f t="shared" ref="X20:X21" si="20">IF(K20&gt;0,D20+E20+F20+G20+H20+I20+J20+K20," ")</f>
        <v xml:space="preserve"> </v>
      </c>
      <c r="Y20" s="140" t="str">
        <f t="shared" ref="Y20:Y21" si="21">IF(L20&gt;0,D20+E20+F20+G20+H20+I20+J20+K20+L20," ")</f>
        <v xml:space="preserve"> </v>
      </c>
      <c r="Z20" s="140" t="str">
        <f t="shared" ref="Z20:Z21" si="22">IF(M20&gt;0,D20+E20+F20+G20+H20+I20+J20+K20+L20+M20," ")</f>
        <v xml:space="preserve"> </v>
      </c>
      <c r="AA20" s="140" t="str">
        <f t="shared" ref="AA20:AA21" si="23">IF(N20&gt;0,D20+E20+F20+G20+H20+I20+J20+K20+L20+M20+N20," ")</f>
        <v xml:space="preserve"> </v>
      </c>
      <c r="AB20" s="140" t="str">
        <f t="shared" ref="AB20:AB21" si="24">IF(O20&gt;0,D20+E20+F20+G20+H20+I20+J20+K20+L20+M20+N20+O20," ")</f>
        <v xml:space="preserve"> </v>
      </c>
    </row>
    <row r="21" spans="1:28" customFormat="1" x14ac:dyDescent="0.25">
      <c r="A21" s="160" t="s">
        <v>100</v>
      </c>
      <c r="B21" s="161">
        <f>B15+B17</f>
        <v>0</v>
      </c>
      <c r="C21" s="161">
        <f t="shared" ref="C21:O21" si="25">C15+C17</f>
        <v>0</v>
      </c>
      <c r="D21" s="161">
        <f t="shared" si="25"/>
        <v>0</v>
      </c>
      <c r="E21" s="161">
        <f t="shared" si="25"/>
        <v>0</v>
      </c>
      <c r="F21" s="161">
        <f t="shared" si="25"/>
        <v>0</v>
      </c>
      <c r="G21" s="161">
        <f t="shared" si="25"/>
        <v>0</v>
      </c>
      <c r="H21" s="161">
        <f t="shared" si="25"/>
        <v>0</v>
      </c>
      <c r="I21" s="161">
        <f t="shared" si="25"/>
        <v>0</v>
      </c>
      <c r="J21" s="161">
        <f t="shared" si="25"/>
        <v>0</v>
      </c>
      <c r="K21" s="161">
        <f t="shared" si="25"/>
        <v>0</v>
      </c>
      <c r="L21" s="161">
        <f t="shared" si="25"/>
        <v>0</v>
      </c>
      <c r="M21" s="161">
        <f t="shared" si="25"/>
        <v>0</v>
      </c>
      <c r="N21" s="161">
        <f t="shared" si="25"/>
        <v>0</v>
      </c>
      <c r="O21" s="161">
        <f t="shared" si="25"/>
        <v>0</v>
      </c>
      <c r="Q21" s="163" t="str">
        <f>IF(D21&gt;0,D21," ")</f>
        <v xml:space="preserve"> </v>
      </c>
      <c r="R21" s="163" t="str">
        <f>IF(E21&gt;0,E21+D21," ")</f>
        <v xml:space="preserve"> </v>
      </c>
      <c r="S21" s="163" t="str">
        <f>IF(F21&gt;0,D21+E21+F21," ")</f>
        <v xml:space="preserve"> </v>
      </c>
      <c r="T21" s="163" t="str">
        <f t="shared" si="16"/>
        <v xml:space="preserve"> </v>
      </c>
      <c r="U21" s="163" t="str">
        <f t="shared" si="17"/>
        <v xml:space="preserve"> </v>
      </c>
      <c r="V21" s="163" t="str">
        <f t="shared" si="18"/>
        <v xml:space="preserve"> </v>
      </c>
      <c r="W21" s="163" t="str">
        <f t="shared" si="19"/>
        <v xml:space="preserve"> </v>
      </c>
      <c r="X21" s="163" t="str">
        <f t="shared" si="20"/>
        <v xml:space="preserve"> </v>
      </c>
      <c r="Y21" s="163" t="str">
        <f t="shared" si="21"/>
        <v xml:space="preserve"> </v>
      </c>
      <c r="Z21" s="163" t="str">
        <f t="shared" si="22"/>
        <v xml:space="preserve"> </v>
      </c>
      <c r="AA21" s="163" t="str">
        <f t="shared" si="23"/>
        <v xml:space="preserve"> </v>
      </c>
      <c r="AB21" s="163" t="str">
        <f t="shared" si="24"/>
        <v xml:space="preserve"> </v>
      </c>
    </row>
    <row r="22" spans="1:28" s="14" customFormat="1" ht="34.5" customHeight="1" x14ac:dyDescent="0.25">
      <c r="Q22" s="43" t="str">
        <f t="shared" si="0"/>
        <v xml:space="preserve"> </v>
      </c>
      <c r="R22" s="43" t="str">
        <f t="shared" si="1"/>
        <v xml:space="preserve"> </v>
      </c>
      <c r="S22" s="43" t="str">
        <f t="shared" si="2"/>
        <v xml:space="preserve"> </v>
      </c>
      <c r="T22" s="43" t="str">
        <f t="shared" si="3"/>
        <v xml:space="preserve"> </v>
      </c>
      <c r="U22" s="43" t="str">
        <f t="shared" si="4"/>
        <v xml:space="preserve"> </v>
      </c>
      <c r="V22" s="43" t="str">
        <f t="shared" si="5"/>
        <v xml:space="preserve"> </v>
      </c>
      <c r="W22" s="43" t="str">
        <f t="shared" si="6"/>
        <v xml:space="preserve"> </v>
      </c>
      <c r="X22" s="43" t="str">
        <f t="shared" si="7"/>
        <v xml:space="preserve"> </v>
      </c>
      <c r="Y22" s="43" t="str">
        <f t="shared" si="8"/>
        <v xml:space="preserve"> </v>
      </c>
      <c r="Z22" s="43" t="str">
        <f t="shared" si="9"/>
        <v xml:space="preserve"> </v>
      </c>
      <c r="AA22" s="43" t="str">
        <f t="shared" si="10"/>
        <v xml:space="preserve"> </v>
      </c>
      <c r="AB22" s="43" t="str">
        <f t="shared" si="11"/>
        <v xml:space="preserve"> </v>
      </c>
    </row>
    <row r="23" spans="1:28" ht="30" x14ac:dyDescent="0.25">
      <c r="A23" s="35" t="s">
        <v>34</v>
      </c>
      <c r="B23" s="50">
        <f t="shared" ref="B23:O23" si="26">B12</f>
        <v>2017</v>
      </c>
      <c r="C23" s="50">
        <f t="shared" si="26"/>
        <v>2018</v>
      </c>
      <c r="D23" s="36" t="str">
        <f t="shared" si="26"/>
        <v>janv 2019</v>
      </c>
      <c r="E23" s="36" t="str">
        <f t="shared" si="26"/>
        <v>fév 2019</v>
      </c>
      <c r="F23" s="36" t="str">
        <f t="shared" si="26"/>
        <v>mars 2019</v>
      </c>
      <c r="G23" s="36" t="str">
        <f t="shared" si="26"/>
        <v>avril 2019</v>
      </c>
      <c r="H23" s="36" t="str">
        <f t="shared" si="26"/>
        <v>mai 2019</v>
      </c>
      <c r="I23" s="36" t="str">
        <f t="shared" si="26"/>
        <v>juin 2019</v>
      </c>
      <c r="J23" s="36" t="str">
        <f t="shared" si="26"/>
        <v>juil 2019</v>
      </c>
      <c r="K23" s="36" t="str">
        <f t="shared" si="26"/>
        <v>août 2019</v>
      </c>
      <c r="L23" s="36" t="str">
        <f t="shared" si="26"/>
        <v>sept 2019</v>
      </c>
      <c r="M23" s="36" t="str">
        <f t="shared" si="26"/>
        <v>oct 2019</v>
      </c>
      <c r="N23" s="36" t="str">
        <f t="shared" si="26"/>
        <v>nov 2019</v>
      </c>
      <c r="O23" s="36" t="str">
        <f t="shared" si="26"/>
        <v>déc 2019</v>
      </c>
      <c r="Q23" s="58" t="str">
        <f t="shared" ref="Q23:AB23" si="27">Q12</f>
        <v>janv 2019</v>
      </c>
      <c r="R23" s="58" t="str">
        <f t="shared" si="27"/>
        <v>janv-fév 2019</v>
      </c>
      <c r="S23" s="58" t="str">
        <f t="shared" si="27"/>
        <v>janv-mars 2019</v>
      </c>
      <c r="T23" s="58" t="str">
        <f t="shared" si="27"/>
        <v>janv-avril 2019</v>
      </c>
      <c r="U23" s="58" t="str">
        <f t="shared" si="27"/>
        <v>janv-mai 2019</v>
      </c>
      <c r="V23" s="58" t="str">
        <f t="shared" si="27"/>
        <v>janv-juin 2019</v>
      </c>
      <c r="W23" s="58" t="str">
        <f t="shared" si="27"/>
        <v>janv-juil 2019</v>
      </c>
      <c r="X23" s="58" t="str">
        <f t="shared" si="27"/>
        <v>janv-août 2019</v>
      </c>
      <c r="Y23" s="58" t="str">
        <f t="shared" si="27"/>
        <v>janv-sept 2019</v>
      </c>
      <c r="Z23" s="58" t="str">
        <f t="shared" si="27"/>
        <v>janv-oct 2019</v>
      </c>
      <c r="AA23" s="58" t="str">
        <f t="shared" si="27"/>
        <v>janv-nov 2019</v>
      </c>
      <c r="AB23" s="58" t="str">
        <f t="shared" si="27"/>
        <v>janv-déc 2019</v>
      </c>
    </row>
    <row r="24" spans="1:28" x14ac:dyDescent="0.25">
      <c r="A24" s="92" t="s">
        <v>42</v>
      </c>
      <c r="B24" s="108"/>
      <c r="C24" s="108"/>
      <c r="D24" s="108"/>
      <c r="E24" s="108"/>
      <c r="F24" s="108"/>
      <c r="G24" s="108"/>
      <c r="H24" s="108"/>
      <c r="I24" s="108"/>
      <c r="J24" s="108"/>
      <c r="K24" s="108"/>
      <c r="L24" s="108"/>
      <c r="M24" s="108"/>
      <c r="N24" s="108"/>
      <c r="O24" s="108"/>
      <c r="P24" s="73"/>
      <c r="Q24" s="65" t="e">
        <f>IF(D24=0,#N/A,D24)</f>
        <v>#N/A</v>
      </c>
      <c r="R24" s="65" t="e">
        <f>IF(E24=0,#N/A,E24+D24)</f>
        <v>#N/A</v>
      </c>
      <c r="S24" s="65" t="e">
        <f>IF(F24=0,#N/A,D24+E24+F24)</f>
        <v>#N/A</v>
      </c>
      <c r="T24" s="65" t="e">
        <f>IF(G24=0,#N/A,D24+E24+F24+G24)</f>
        <v>#N/A</v>
      </c>
      <c r="U24" s="65" t="e">
        <f>IF(H24=0,#N/A,D24+E24+F24+G24+H24)</f>
        <v>#N/A</v>
      </c>
      <c r="V24" s="65" t="e">
        <f>IF(I24=0,#N/A,D24+E24+F24+G24+H24+I24)</f>
        <v>#N/A</v>
      </c>
      <c r="W24" s="65" t="e">
        <f>IF(J24=0,#N/A,D24+E24+F24+G24+H24+I24+J24)</f>
        <v>#N/A</v>
      </c>
      <c r="X24" s="65" t="e">
        <f>IF(K24=0,#N/A,D24+E24+F24+G24+H24+I24+J24+K24)</f>
        <v>#N/A</v>
      </c>
      <c r="Y24" s="65" t="e">
        <f>IF(L24=0,#N/A,D24+E24+F24+G24+H24+I24+J24+K24+L24)</f>
        <v>#N/A</v>
      </c>
      <c r="Z24" s="65" t="e">
        <f>IF(M24=0,#N/A,D24+E24+F24+G24+H24+I24+J24+K24+L24+M24)</f>
        <v>#N/A</v>
      </c>
      <c r="AA24" s="65" t="e">
        <f>IF(N24=0,#N/A, D24+E24+F24+G24+H24+I24+J24+K24+L24+M24+N24)</f>
        <v>#N/A</v>
      </c>
      <c r="AB24" s="65" t="e">
        <f>IF(O24=0,#N/A,D24+E24+F24+G24+H24+I24+J24+K24+L24+M24+N24+O24)</f>
        <v>#N/A</v>
      </c>
    </row>
    <row r="25" spans="1:28" s="14" customFormat="1" x14ac:dyDescent="0.25">
      <c r="A25" s="119" t="s">
        <v>46</v>
      </c>
      <c r="B25" s="120"/>
      <c r="C25" s="120"/>
      <c r="D25" s="121"/>
      <c r="E25" s="121"/>
      <c r="F25" s="121"/>
      <c r="G25" s="121"/>
      <c r="H25" s="121"/>
      <c r="I25" s="121"/>
      <c r="J25" s="121"/>
      <c r="K25" s="121"/>
      <c r="L25" s="121"/>
      <c r="M25" s="121"/>
      <c r="N25" s="121"/>
      <c r="O25" s="121"/>
      <c r="P25" s="76"/>
      <c r="Q25" s="65" t="e">
        <f t="shared" ref="Q25:Q35" si="28">IF(D25=0,#N/A,D25)</f>
        <v>#N/A</v>
      </c>
      <c r="R25" s="65" t="e">
        <f t="shared" ref="R25:R35" si="29">IF(E25=0,#N/A,E25+D25)</f>
        <v>#N/A</v>
      </c>
      <c r="S25" s="65" t="e">
        <f t="shared" ref="S25:S35" si="30">IF(F25=0,#N/A,D25+E25+F25)</f>
        <v>#N/A</v>
      </c>
      <c r="T25" s="65" t="e">
        <f t="shared" ref="T25:T35" si="31">IF(G25=0,#N/A,D25+E25+F25+G25)</f>
        <v>#N/A</v>
      </c>
      <c r="U25" s="65" t="e">
        <f t="shared" ref="U25:U35" si="32">IF(H25=0,#N/A,D25+E25+F25+G25+H25)</f>
        <v>#N/A</v>
      </c>
      <c r="V25" s="65" t="e">
        <f t="shared" ref="V25:V35" si="33">IF(I25=0,#N/A,D25+E25+F25+G25+H25+I25)</f>
        <v>#N/A</v>
      </c>
      <c r="W25" s="65" t="e">
        <f t="shared" ref="W25:W35" si="34">IF(J25=0,#N/A,D25+E25+F25+G25+H25+I25+J25)</f>
        <v>#N/A</v>
      </c>
      <c r="X25" s="65" t="e">
        <f t="shared" ref="X25:X35" si="35">IF(K25=0,#N/A,D25+E25+F25+G25+H25+I25+J25+K25)</f>
        <v>#N/A</v>
      </c>
      <c r="Y25" s="65" t="e">
        <f t="shared" ref="Y25:Y35" si="36">IF(L25=0,#N/A,D25+E25+F25+G25+H25+I25+J25+K25+L25)</f>
        <v>#N/A</v>
      </c>
      <c r="Z25" s="65" t="e">
        <f t="shared" ref="Z25:Z35" si="37">IF(M25=0,#N/A,D25+E25+F25+G25+H25+I25+J25+K25+L25+M25)</f>
        <v>#N/A</v>
      </c>
      <c r="AA25" s="65" t="e">
        <f t="shared" ref="AA25:AA35" si="38">IF(N25=0,#N/A, D25+E25+F25+G25+H25+I25+J25+K25+L25+M25+N25)</f>
        <v>#N/A</v>
      </c>
      <c r="AB25" s="65" t="e">
        <f t="shared" ref="AB25:AB35" si="39">IF(O25=0,#N/A,D25+E25+F25+G25+H25+I25+J25+K25+L25+M25+N25+O25)</f>
        <v>#N/A</v>
      </c>
    </row>
    <row r="26" spans="1:28" x14ac:dyDescent="0.25">
      <c r="A26" s="92" t="s">
        <v>43</v>
      </c>
      <c r="B26" s="108"/>
      <c r="C26" s="108"/>
      <c r="D26" s="108"/>
      <c r="E26" s="108"/>
      <c r="F26" s="108"/>
      <c r="G26" s="108"/>
      <c r="H26" s="108"/>
      <c r="I26" s="108"/>
      <c r="J26" s="108"/>
      <c r="K26" s="108"/>
      <c r="L26" s="108"/>
      <c r="M26" s="108"/>
      <c r="N26" s="108"/>
      <c r="O26" s="108"/>
      <c r="P26" s="73"/>
      <c r="Q26" s="65" t="e">
        <f t="shared" si="28"/>
        <v>#N/A</v>
      </c>
      <c r="R26" s="65" t="e">
        <f t="shared" si="29"/>
        <v>#N/A</v>
      </c>
      <c r="S26" s="65" t="e">
        <f t="shared" si="30"/>
        <v>#N/A</v>
      </c>
      <c r="T26" s="65" t="e">
        <f t="shared" si="31"/>
        <v>#N/A</v>
      </c>
      <c r="U26" s="65" t="e">
        <f t="shared" si="32"/>
        <v>#N/A</v>
      </c>
      <c r="V26" s="65" t="e">
        <f t="shared" si="33"/>
        <v>#N/A</v>
      </c>
      <c r="W26" s="65" t="e">
        <f t="shared" si="34"/>
        <v>#N/A</v>
      </c>
      <c r="X26" s="65" t="e">
        <f t="shared" si="35"/>
        <v>#N/A</v>
      </c>
      <c r="Y26" s="65" t="e">
        <f t="shared" si="36"/>
        <v>#N/A</v>
      </c>
      <c r="Z26" s="65" t="e">
        <f t="shared" si="37"/>
        <v>#N/A</v>
      </c>
      <c r="AA26" s="65" t="e">
        <f t="shared" si="38"/>
        <v>#N/A</v>
      </c>
      <c r="AB26" s="65" t="e">
        <f t="shared" si="39"/>
        <v>#N/A</v>
      </c>
    </row>
    <row r="27" spans="1:28" s="14" customFormat="1" x14ac:dyDescent="0.25">
      <c r="A27" s="119" t="s">
        <v>47</v>
      </c>
      <c r="B27" s="120"/>
      <c r="C27" s="120"/>
      <c r="D27" s="121"/>
      <c r="E27" s="121"/>
      <c r="F27" s="121"/>
      <c r="G27" s="121"/>
      <c r="H27" s="121"/>
      <c r="I27" s="121"/>
      <c r="J27" s="121"/>
      <c r="K27" s="121"/>
      <c r="L27" s="121"/>
      <c r="M27" s="121"/>
      <c r="N27" s="121"/>
      <c r="O27" s="121"/>
      <c r="P27" s="76"/>
      <c r="Q27" s="65" t="e">
        <f t="shared" si="28"/>
        <v>#N/A</v>
      </c>
      <c r="R27" s="65" t="e">
        <f t="shared" si="29"/>
        <v>#N/A</v>
      </c>
      <c r="S27" s="65" t="e">
        <f t="shared" si="30"/>
        <v>#N/A</v>
      </c>
      <c r="T27" s="65" t="e">
        <f t="shared" si="31"/>
        <v>#N/A</v>
      </c>
      <c r="U27" s="65" t="e">
        <f t="shared" si="32"/>
        <v>#N/A</v>
      </c>
      <c r="V27" s="65" t="e">
        <f t="shared" si="33"/>
        <v>#N/A</v>
      </c>
      <c r="W27" s="65" t="e">
        <f t="shared" si="34"/>
        <v>#N/A</v>
      </c>
      <c r="X27" s="65" t="e">
        <f t="shared" si="35"/>
        <v>#N/A</v>
      </c>
      <c r="Y27" s="65" t="e">
        <f t="shared" si="36"/>
        <v>#N/A</v>
      </c>
      <c r="Z27" s="65" t="e">
        <f t="shared" si="37"/>
        <v>#N/A</v>
      </c>
      <c r="AA27" s="65" t="e">
        <f t="shared" si="38"/>
        <v>#N/A</v>
      </c>
      <c r="AB27" s="65" t="e">
        <f t="shared" si="39"/>
        <v>#N/A</v>
      </c>
    </row>
    <row r="28" spans="1:28" ht="34.5" customHeight="1" x14ac:dyDescent="0.25">
      <c r="A28" s="12" t="s">
        <v>44</v>
      </c>
      <c r="B28" s="108"/>
      <c r="C28" s="108"/>
      <c r="D28" s="108"/>
      <c r="E28" s="108"/>
      <c r="F28" s="108"/>
      <c r="G28" s="108"/>
      <c r="H28" s="108"/>
      <c r="I28" s="108"/>
      <c r="J28" s="108"/>
      <c r="K28" s="108"/>
      <c r="L28" s="108"/>
      <c r="M28" s="108"/>
      <c r="N28" s="108"/>
      <c r="O28" s="108"/>
      <c r="P28" s="73"/>
      <c r="Q28" s="64" t="e">
        <f t="shared" si="28"/>
        <v>#N/A</v>
      </c>
      <c r="R28" s="64" t="e">
        <f t="shared" si="29"/>
        <v>#N/A</v>
      </c>
      <c r="S28" s="64" t="e">
        <f t="shared" si="30"/>
        <v>#N/A</v>
      </c>
      <c r="T28" s="64" t="e">
        <f t="shared" si="31"/>
        <v>#N/A</v>
      </c>
      <c r="U28" s="64" t="e">
        <f t="shared" si="32"/>
        <v>#N/A</v>
      </c>
      <c r="V28" s="64" t="e">
        <f t="shared" si="33"/>
        <v>#N/A</v>
      </c>
      <c r="W28" s="64" t="e">
        <f t="shared" si="34"/>
        <v>#N/A</v>
      </c>
      <c r="X28" s="64" t="e">
        <f t="shared" si="35"/>
        <v>#N/A</v>
      </c>
      <c r="Y28" s="64" t="e">
        <f t="shared" si="36"/>
        <v>#N/A</v>
      </c>
      <c r="Z28" s="64" t="e">
        <f t="shared" si="37"/>
        <v>#N/A</v>
      </c>
      <c r="AA28" s="64" t="e">
        <f t="shared" si="38"/>
        <v>#N/A</v>
      </c>
      <c r="AB28" s="64" t="e">
        <f t="shared" si="39"/>
        <v>#N/A</v>
      </c>
    </row>
    <row r="29" spans="1:28" s="14" customFormat="1" ht="30" x14ac:dyDescent="0.25">
      <c r="A29" s="123" t="s">
        <v>45</v>
      </c>
      <c r="B29" s="124"/>
      <c r="C29" s="124"/>
      <c r="D29" s="109"/>
      <c r="E29" s="109"/>
      <c r="F29" s="109"/>
      <c r="G29" s="109"/>
      <c r="H29" s="109"/>
      <c r="I29" s="109"/>
      <c r="J29" s="109"/>
      <c r="K29" s="109"/>
      <c r="L29" s="109"/>
      <c r="M29" s="109"/>
      <c r="N29" s="109"/>
      <c r="O29" s="109"/>
      <c r="P29" s="76"/>
      <c r="Q29" s="65" t="e">
        <f t="shared" si="28"/>
        <v>#N/A</v>
      </c>
      <c r="R29" s="65" t="e">
        <f t="shared" si="29"/>
        <v>#N/A</v>
      </c>
      <c r="S29" s="65" t="e">
        <f t="shared" si="30"/>
        <v>#N/A</v>
      </c>
      <c r="T29" s="65" t="e">
        <f t="shared" si="31"/>
        <v>#N/A</v>
      </c>
      <c r="U29" s="65" t="e">
        <f t="shared" si="32"/>
        <v>#N/A</v>
      </c>
      <c r="V29" s="65" t="e">
        <f t="shared" si="33"/>
        <v>#N/A</v>
      </c>
      <c r="W29" s="65" t="e">
        <f t="shared" si="34"/>
        <v>#N/A</v>
      </c>
      <c r="X29" s="65" t="e">
        <f t="shared" si="35"/>
        <v>#N/A</v>
      </c>
      <c r="Y29" s="65" t="e">
        <f t="shared" si="36"/>
        <v>#N/A</v>
      </c>
      <c r="Z29" s="65" t="e">
        <f t="shared" si="37"/>
        <v>#N/A</v>
      </c>
      <c r="AA29" s="65" t="e">
        <f t="shared" si="38"/>
        <v>#N/A</v>
      </c>
      <c r="AB29" s="65" t="e">
        <f t="shared" si="39"/>
        <v>#N/A</v>
      </c>
    </row>
    <row r="30" spans="1:28" customFormat="1" x14ac:dyDescent="0.25">
      <c r="B30" s="66"/>
      <c r="C30" s="66"/>
      <c r="D30" s="66"/>
      <c r="E30" s="66"/>
      <c r="F30" s="66"/>
      <c r="G30" s="66"/>
      <c r="H30" s="66"/>
      <c r="I30" s="66"/>
      <c r="J30" s="66"/>
      <c r="K30" s="66"/>
      <c r="L30" s="66"/>
      <c r="M30" s="66"/>
      <c r="N30" s="66"/>
      <c r="O30" s="66"/>
      <c r="P30" s="75"/>
      <c r="Q30" s="65" t="e">
        <f t="shared" si="28"/>
        <v>#N/A</v>
      </c>
      <c r="R30" s="65" t="e">
        <f t="shared" si="29"/>
        <v>#N/A</v>
      </c>
      <c r="S30" s="65" t="e">
        <f t="shared" si="30"/>
        <v>#N/A</v>
      </c>
      <c r="T30" s="65" t="e">
        <f t="shared" si="31"/>
        <v>#N/A</v>
      </c>
      <c r="U30" s="65" t="e">
        <f t="shared" si="32"/>
        <v>#N/A</v>
      </c>
      <c r="V30" s="65" t="e">
        <f t="shared" si="33"/>
        <v>#N/A</v>
      </c>
      <c r="W30" s="65" t="e">
        <f t="shared" si="34"/>
        <v>#N/A</v>
      </c>
      <c r="X30" s="65" t="e">
        <f t="shared" si="35"/>
        <v>#N/A</v>
      </c>
      <c r="Y30" s="65" t="e">
        <f t="shared" si="36"/>
        <v>#N/A</v>
      </c>
      <c r="Z30" s="65" t="e">
        <f t="shared" si="37"/>
        <v>#N/A</v>
      </c>
      <c r="AA30" s="65" t="e">
        <f t="shared" si="38"/>
        <v>#N/A</v>
      </c>
      <c r="AB30" s="65" t="e">
        <f t="shared" si="39"/>
        <v>#N/A</v>
      </c>
    </row>
    <row r="31" spans="1:28" ht="30" x14ac:dyDescent="0.25">
      <c r="A31" s="15" t="s">
        <v>9</v>
      </c>
      <c r="B31" s="71">
        <f>B32+B33</f>
        <v>0</v>
      </c>
      <c r="C31" s="71">
        <f t="shared" ref="C31:O31" si="40">C32+C33</f>
        <v>0</v>
      </c>
      <c r="D31" s="71">
        <f t="shared" si="40"/>
        <v>0</v>
      </c>
      <c r="E31" s="71">
        <f t="shared" si="40"/>
        <v>0</v>
      </c>
      <c r="F31" s="71">
        <f t="shared" si="40"/>
        <v>0</v>
      </c>
      <c r="G31" s="71">
        <f t="shared" si="40"/>
        <v>0</v>
      </c>
      <c r="H31" s="71">
        <f t="shared" si="40"/>
        <v>0</v>
      </c>
      <c r="I31" s="71">
        <f t="shared" si="40"/>
        <v>0</v>
      </c>
      <c r="J31" s="71">
        <f t="shared" si="40"/>
        <v>0</v>
      </c>
      <c r="K31" s="71">
        <f t="shared" si="40"/>
        <v>0</v>
      </c>
      <c r="L31" s="71">
        <f t="shared" si="40"/>
        <v>0</v>
      </c>
      <c r="M31" s="71">
        <f t="shared" si="40"/>
        <v>0</v>
      </c>
      <c r="N31" s="71">
        <f t="shared" si="40"/>
        <v>0</v>
      </c>
      <c r="O31" s="71">
        <f t="shared" si="40"/>
        <v>0</v>
      </c>
      <c r="P31" s="73"/>
      <c r="Q31" s="65" t="e">
        <f t="shared" si="28"/>
        <v>#N/A</v>
      </c>
      <c r="R31" s="65" t="e">
        <f t="shared" si="29"/>
        <v>#N/A</v>
      </c>
      <c r="S31" s="65" t="e">
        <f t="shared" si="30"/>
        <v>#N/A</v>
      </c>
      <c r="T31" s="65" t="e">
        <f t="shared" si="31"/>
        <v>#N/A</v>
      </c>
      <c r="U31" s="65" t="e">
        <f t="shared" si="32"/>
        <v>#N/A</v>
      </c>
      <c r="V31" s="65" t="e">
        <f t="shared" si="33"/>
        <v>#N/A</v>
      </c>
      <c r="W31" s="65" t="e">
        <f t="shared" si="34"/>
        <v>#N/A</v>
      </c>
      <c r="X31" s="65" t="e">
        <f t="shared" si="35"/>
        <v>#N/A</v>
      </c>
      <c r="Y31" s="65" t="e">
        <f t="shared" si="36"/>
        <v>#N/A</v>
      </c>
      <c r="Z31" s="65" t="e">
        <f t="shared" si="37"/>
        <v>#N/A</v>
      </c>
      <c r="AA31" s="65" t="e">
        <f t="shared" si="38"/>
        <v>#N/A</v>
      </c>
      <c r="AB31" s="65" t="e">
        <f t="shared" si="39"/>
        <v>#N/A</v>
      </c>
    </row>
    <row r="32" spans="1:28" s="137" customFormat="1" x14ac:dyDescent="0.25">
      <c r="A32" s="141" t="s">
        <v>10</v>
      </c>
      <c r="B32" s="138"/>
      <c r="C32" s="138"/>
      <c r="D32" s="138"/>
      <c r="E32" s="138"/>
      <c r="F32" s="138"/>
      <c r="G32" s="138"/>
      <c r="H32" s="138"/>
      <c r="I32" s="138"/>
      <c r="J32" s="138"/>
      <c r="K32" s="138"/>
      <c r="L32" s="138"/>
      <c r="M32" s="138"/>
      <c r="N32" s="138"/>
      <c r="O32" s="138"/>
      <c r="P32" s="74"/>
      <c r="Q32" s="65" t="e">
        <f t="shared" si="28"/>
        <v>#N/A</v>
      </c>
      <c r="R32" s="65" t="e">
        <f t="shared" si="29"/>
        <v>#N/A</v>
      </c>
      <c r="S32" s="65" t="e">
        <f t="shared" si="30"/>
        <v>#N/A</v>
      </c>
      <c r="T32" s="65" t="e">
        <f t="shared" si="31"/>
        <v>#N/A</v>
      </c>
      <c r="U32" s="65" t="e">
        <f t="shared" si="32"/>
        <v>#N/A</v>
      </c>
      <c r="V32" s="65" t="e">
        <f t="shared" si="33"/>
        <v>#N/A</v>
      </c>
      <c r="W32" s="65" t="e">
        <f t="shared" si="34"/>
        <v>#N/A</v>
      </c>
      <c r="X32" s="65" t="e">
        <f t="shared" si="35"/>
        <v>#N/A</v>
      </c>
      <c r="Y32" s="65" t="e">
        <f t="shared" si="36"/>
        <v>#N/A</v>
      </c>
      <c r="Z32" s="65" t="e">
        <f t="shared" si="37"/>
        <v>#N/A</v>
      </c>
      <c r="AA32" s="65" t="e">
        <f t="shared" si="38"/>
        <v>#N/A</v>
      </c>
      <c r="AB32" s="65" t="e">
        <f t="shared" si="39"/>
        <v>#N/A</v>
      </c>
    </row>
    <row r="33" spans="1:28" s="137" customFormat="1" x14ac:dyDescent="0.25">
      <c r="A33" s="141" t="s">
        <v>11</v>
      </c>
      <c r="B33" s="138"/>
      <c r="C33" s="138"/>
      <c r="D33" s="138"/>
      <c r="E33" s="138"/>
      <c r="F33" s="138"/>
      <c r="G33" s="138"/>
      <c r="H33" s="138"/>
      <c r="I33" s="138"/>
      <c r="J33" s="138"/>
      <c r="K33" s="138"/>
      <c r="L33" s="138"/>
      <c r="M33" s="138"/>
      <c r="N33" s="138"/>
      <c r="O33" s="138"/>
      <c r="P33" s="74"/>
      <c r="Q33" s="65" t="e">
        <f t="shared" si="28"/>
        <v>#N/A</v>
      </c>
      <c r="R33" s="65" t="e">
        <f t="shared" si="29"/>
        <v>#N/A</v>
      </c>
      <c r="S33" s="65" t="e">
        <f t="shared" si="30"/>
        <v>#N/A</v>
      </c>
      <c r="T33" s="65" t="e">
        <f t="shared" si="31"/>
        <v>#N/A</v>
      </c>
      <c r="U33" s="65" t="e">
        <f t="shared" si="32"/>
        <v>#N/A</v>
      </c>
      <c r="V33" s="65" t="e">
        <f t="shared" si="33"/>
        <v>#N/A</v>
      </c>
      <c r="W33" s="65" t="e">
        <f t="shared" si="34"/>
        <v>#N/A</v>
      </c>
      <c r="X33" s="65" t="e">
        <f t="shared" si="35"/>
        <v>#N/A</v>
      </c>
      <c r="Y33" s="65" t="e">
        <f t="shared" si="36"/>
        <v>#N/A</v>
      </c>
      <c r="Z33" s="65" t="e">
        <f t="shared" si="37"/>
        <v>#N/A</v>
      </c>
      <c r="AA33" s="65" t="e">
        <f t="shared" si="38"/>
        <v>#N/A</v>
      </c>
      <c r="AB33" s="65" t="e">
        <f t="shared" si="39"/>
        <v>#N/A</v>
      </c>
    </row>
    <row r="34" spans="1:28" customFormat="1" x14ac:dyDescent="0.25">
      <c r="Q34" s="65" t="e">
        <f t="shared" si="28"/>
        <v>#N/A</v>
      </c>
      <c r="R34" s="65" t="e">
        <f t="shared" si="29"/>
        <v>#N/A</v>
      </c>
      <c r="S34" s="65" t="e">
        <f t="shared" si="30"/>
        <v>#N/A</v>
      </c>
      <c r="T34" s="65" t="e">
        <f t="shared" si="31"/>
        <v>#N/A</v>
      </c>
      <c r="U34" s="65" t="e">
        <f t="shared" si="32"/>
        <v>#N/A</v>
      </c>
      <c r="V34" s="65" t="e">
        <f t="shared" si="33"/>
        <v>#N/A</v>
      </c>
      <c r="W34" s="65" t="e">
        <f t="shared" si="34"/>
        <v>#N/A</v>
      </c>
      <c r="X34" s="65" t="e">
        <f t="shared" si="35"/>
        <v>#N/A</v>
      </c>
      <c r="Y34" s="65" t="e">
        <f t="shared" si="36"/>
        <v>#N/A</v>
      </c>
      <c r="Z34" s="65" t="e">
        <f t="shared" si="37"/>
        <v>#N/A</v>
      </c>
      <c r="AA34" s="65" t="e">
        <f t="shared" si="38"/>
        <v>#N/A</v>
      </c>
      <c r="AB34" s="65" t="e">
        <f t="shared" si="39"/>
        <v>#N/A</v>
      </c>
    </row>
    <row r="35" spans="1:28" customFormat="1" x14ac:dyDescent="0.25">
      <c r="A35" s="162" t="s">
        <v>100</v>
      </c>
      <c r="B35" s="161">
        <f>B31+B28</f>
        <v>0</v>
      </c>
      <c r="C35" s="161">
        <f t="shared" ref="C35:O35" si="41">C31+C28</f>
        <v>0</v>
      </c>
      <c r="D35" s="161">
        <f t="shared" si="41"/>
        <v>0</v>
      </c>
      <c r="E35" s="161">
        <f t="shared" si="41"/>
        <v>0</v>
      </c>
      <c r="F35" s="161">
        <f t="shared" si="41"/>
        <v>0</v>
      </c>
      <c r="G35" s="161">
        <f t="shared" si="41"/>
        <v>0</v>
      </c>
      <c r="H35" s="161">
        <f t="shared" si="41"/>
        <v>0</v>
      </c>
      <c r="I35" s="161">
        <f t="shared" si="41"/>
        <v>0</v>
      </c>
      <c r="J35" s="161">
        <f t="shared" si="41"/>
        <v>0</v>
      </c>
      <c r="K35" s="161">
        <f t="shared" si="41"/>
        <v>0</v>
      </c>
      <c r="L35" s="161">
        <f t="shared" si="41"/>
        <v>0</v>
      </c>
      <c r="M35" s="161">
        <f t="shared" si="41"/>
        <v>0</v>
      </c>
      <c r="N35" s="161">
        <f t="shared" si="41"/>
        <v>0</v>
      </c>
      <c r="O35" s="161">
        <f t="shared" si="41"/>
        <v>0</v>
      </c>
      <c r="Q35" s="64" t="e">
        <f t="shared" si="28"/>
        <v>#N/A</v>
      </c>
      <c r="R35" s="64" t="e">
        <f t="shared" si="29"/>
        <v>#N/A</v>
      </c>
      <c r="S35" s="64" t="e">
        <f t="shared" si="30"/>
        <v>#N/A</v>
      </c>
      <c r="T35" s="64" t="e">
        <f t="shared" si="31"/>
        <v>#N/A</v>
      </c>
      <c r="U35" s="64" t="e">
        <f t="shared" si="32"/>
        <v>#N/A</v>
      </c>
      <c r="V35" s="64" t="e">
        <f t="shared" si="33"/>
        <v>#N/A</v>
      </c>
      <c r="W35" s="64" t="e">
        <f t="shared" si="34"/>
        <v>#N/A</v>
      </c>
      <c r="X35" s="64" t="e">
        <f t="shared" si="35"/>
        <v>#N/A</v>
      </c>
      <c r="Y35" s="64" t="e">
        <f t="shared" si="36"/>
        <v>#N/A</v>
      </c>
      <c r="Z35" s="64" t="e">
        <f t="shared" si="37"/>
        <v>#N/A</v>
      </c>
      <c r="AA35" s="64" t="e">
        <f t="shared" si="38"/>
        <v>#N/A</v>
      </c>
      <c r="AB35" s="64" t="e">
        <f t="shared" si="39"/>
        <v>#N/A</v>
      </c>
    </row>
    <row r="36" spans="1:28" ht="48.75" customHeight="1" x14ac:dyDescent="0.25"/>
    <row r="37" spans="1:28" s="6" customFormat="1" x14ac:dyDescent="0.25">
      <c r="A37" s="197" t="s">
        <v>112</v>
      </c>
      <c r="B37" s="198"/>
      <c r="C37" s="199"/>
      <c r="D37" s="206"/>
      <c r="E37" s="206"/>
      <c r="F37" s="206"/>
      <c r="G37" s="206"/>
      <c r="H37" s="206"/>
      <c r="I37" s="206"/>
      <c r="Q37" s="46"/>
      <c r="R37" s="46"/>
      <c r="S37" s="46"/>
      <c r="T37" s="46"/>
      <c r="U37" s="46"/>
      <c r="V37" s="46"/>
      <c r="W37" s="46"/>
      <c r="X37" s="46"/>
      <c r="Y37" s="46"/>
      <c r="Z37" s="46"/>
      <c r="AA37" s="46"/>
      <c r="AB37" s="46"/>
    </row>
    <row r="38" spans="1:28" x14ac:dyDescent="0.25">
      <c r="A38" s="200"/>
      <c r="B38" s="201"/>
      <c r="C38" s="202"/>
      <c r="D38" s="206"/>
      <c r="E38" s="206"/>
      <c r="F38" s="206"/>
      <c r="G38" s="206"/>
      <c r="H38" s="206"/>
      <c r="I38" s="206"/>
    </row>
    <row r="39" spans="1:28" x14ac:dyDescent="0.25">
      <c r="A39" s="200"/>
      <c r="B39" s="201"/>
      <c r="C39" s="202"/>
      <c r="D39" s="206"/>
      <c r="E39" s="206"/>
      <c r="F39" s="206"/>
      <c r="G39" s="206"/>
      <c r="H39" s="206"/>
      <c r="I39" s="206"/>
    </row>
    <row r="40" spans="1:28" x14ac:dyDescent="0.25">
      <c r="A40" s="200"/>
      <c r="B40" s="201"/>
      <c r="C40" s="202"/>
      <c r="D40" s="206"/>
      <c r="E40" s="206"/>
      <c r="F40" s="206"/>
      <c r="G40" s="206"/>
      <c r="H40" s="206"/>
      <c r="I40" s="206"/>
      <c r="J40" s="45"/>
      <c r="K40" s="45"/>
      <c r="L40" s="45"/>
      <c r="M40" s="45"/>
      <c r="N40" s="45"/>
      <c r="O40" s="45"/>
    </row>
    <row r="41" spans="1:28" x14ac:dyDescent="0.25">
      <c r="A41" s="203"/>
      <c r="B41" s="204"/>
      <c r="C41" s="205"/>
      <c r="D41" s="206"/>
      <c r="E41" s="206"/>
      <c r="F41" s="206"/>
      <c r="G41" s="206"/>
      <c r="H41" s="206"/>
      <c r="I41" s="206"/>
    </row>
    <row r="42" spans="1:28" x14ac:dyDescent="0.25">
      <c r="A42" s="45"/>
      <c r="B42" s="45"/>
      <c r="C42" s="45"/>
      <c r="D42" s="45"/>
      <c r="E42" s="45"/>
      <c r="F42" s="45"/>
      <c r="G42" s="45"/>
      <c r="H42" s="45"/>
      <c r="I42" s="45"/>
    </row>
    <row r="43" spans="1:28" x14ac:dyDescent="0.25">
      <c r="A43" s="194" t="s">
        <v>77</v>
      </c>
      <c r="B43" s="194"/>
      <c r="C43" s="194"/>
      <c r="D43" s="194"/>
      <c r="E43" s="194"/>
      <c r="F43" s="194"/>
      <c r="G43" s="194"/>
      <c r="H43" s="194"/>
      <c r="I43" s="194"/>
    </row>
    <row r="44" spans="1:28" x14ac:dyDescent="0.25">
      <c r="A44" s="181"/>
      <c r="B44" s="181"/>
      <c r="C44" s="181"/>
      <c r="D44" s="181"/>
      <c r="E44" s="181"/>
      <c r="F44" s="181"/>
      <c r="G44" s="181"/>
      <c r="H44" s="181"/>
      <c r="I44" s="181"/>
    </row>
    <row r="45" spans="1:28" x14ac:dyDescent="0.25">
      <c r="A45" s="181"/>
      <c r="B45" s="181"/>
      <c r="C45" s="181"/>
      <c r="D45" s="181"/>
      <c r="E45" s="181"/>
      <c r="F45" s="181"/>
      <c r="G45" s="181"/>
      <c r="H45" s="181"/>
      <c r="I45" s="181"/>
    </row>
    <row r="46" spans="1:28" x14ac:dyDescent="0.25">
      <c r="A46" s="181"/>
      <c r="B46" s="181"/>
      <c r="C46" s="181"/>
      <c r="D46" s="181"/>
      <c r="E46" s="181"/>
      <c r="F46" s="181"/>
      <c r="G46" s="181"/>
      <c r="H46" s="181"/>
      <c r="I46" s="181"/>
    </row>
    <row r="47" spans="1:28" x14ac:dyDescent="0.25">
      <c r="A47" s="181"/>
      <c r="B47" s="181"/>
      <c r="C47" s="181"/>
      <c r="D47" s="181"/>
      <c r="E47" s="181"/>
      <c r="F47" s="181"/>
      <c r="G47" s="181"/>
      <c r="H47" s="181"/>
      <c r="I47" s="181"/>
    </row>
    <row r="48" spans="1:28" x14ac:dyDescent="0.25">
      <c r="A48" s="181"/>
      <c r="B48" s="181"/>
      <c r="C48" s="181"/>
      <c r="D48" s="181"/>
      <c r="E48" s="181"/>
      <c r="F48" s="181"/>
      <c r="G48" s="181"/>
      <c r="H48" s="181"/>
      <c r="I48" s="181"/>
    </row>
    <row r="49" spans="1:9" x14ac:dyDescent="0.25">
      <c r="A49" s="181"/>
      <c r="B49" s="181"/>
      <c r="C49" s="181"/>
      <c r="D49" s="181"/>
      <c r="E49" s="181"/>
      <c r="F49" s="181"/>
      <c r="G49" s="181"/>
      <c r="H49" s="181"/>
      <c r="I49" s="181"/>
    </row>
    <row r="50" spans="1:9" x14ac:dyDescent="0.25">
      <c r="A50" s="181"/>
      <c r="B50" s="181"/>
      <c r="C50" s="181"/>
      <c r="D50" s="181"/>
      <c r="E50" s="181"/>
      <c r="F50" s="181"/>
      <c r="G50" s="181"/>
      <c r="H50" s="181"/>
      <c r="I50" s="181"/>
    </row>
    <row r="51" spans="1:9" x14ac:dyDescent="0.25">
      <c r="A51" s="181"/>
      <c r="B51" s="181"/>
      <c r="C51" s="181"/>
      <c r="D51" s="181"/>
      <c r="E51" s="181"/>
      <c r="F51" s="181"/>
      <c r="G51" s="181"/>
      <c r="H51" s="181"/>
      <c r="I51" s="181"/>
    </row>
    <row r="52" spans="1:9" x14ac:dyDescent="0.25">
      <c r="A52" s="181"/>
      <c r="B52" s="181"/>
      <c r="C52" s="181"/>
      <c r="D52" s="181"/>
      <c r="E52" s="181"/>
      <c r="F52" s="181"/>
      <c r="G52" s="181"/>
      <c r="H52" s="181"/>
      <c r="I52" s="181"/>
    </row>
    <row r="53" spans="1:9" x14ac:dyDescent="0.25">
      <c r="A53" s="181"/>
      <c r="B53" s="181"/>
      <c r="C53" s="181"/>
      <c r="D53" s="181"/>
      <c r="E53" s="181"/>
      <c r="F53" s="181"/>
      <c r="G53" s="181"/>
      <c r="H53" s="181"/>
      <c r="I53" s="181"/>
    </row>
    <row r="54" spans="1:9" x14ac:dyDescent="0.25">
      <c r="A54" s="181"/>
      <c r="B54" s="181"/>
      <c r="C54" s="181"/>
      <c r="D54" s="181"/>
      <c r="E54" s="181"/>
      <c r="F54" s="181"/>
      <c r="G54" s="181"/>
      <c r="H54" s="181"/>
      <c r="I54" s="181"/>
    </row>
    <row r="55" spans="1:9" x14ac:dyDescent="0.25">
      <c r="A55" s="181"/>
      <c r="B55" s="181"/>
      <c r="C55" s="181"/>
      <c r="D55" s="181"/>
      <c r="E55" s="181"/>
      <c r="F55" s="181"/>
      <c r="G55" s="181"/>
      <c r="H55" s="181"/>
      <c r="I55" s="181"/>
    </row>
    <row r="56" spans="1:9" x14ac:dyDescent="0.25">
      <c r="A56" s="181"/>
      <c r="B56" s="181"/>
      <c r="C56" s="181"/>
      <c r="D56" s="181"/>
      <c r="E56" s="181"/>
      <c r="F56" s="181"/>
      <c r="G56" s="181"/>
      <c r="H56" s="181"/>
      <c r="I56" s="181"/>
    </row>
    <row r="57" spans="1:9" x14ac:dyDescent="0.25">
      <c r="A57" s="181"/>
      <c r="B57" s="181"/>
      <c r="C57" s="181"/>
      <c r="D57" s="181"/>
      <c r="E57" s="181"/>
      <c r="F57" s="181"/>
      <c r="G57" s="181"/>
      <c r="H57" s="181"/>
      <c r="I57" s="181"/>
    </row>
    <row r="58" spans="1:9" x14ac:dyDescent="0.25">
      <c r="A58" s="181"/>
      <c r="B58" s="181"/>
      <c r="C58" s="181"/>
      <c r="D58" s="181"/>
      <c r="E58" s="181"/>
      <c r="F58" s="181"/>
      <c r="G58" s="181"/>
      <c r="H58" s="181"/>
      <c r="I58" s="181"/>
    </row>
    <row r="59" spans="1:9" x14ac:dyDescent="0.25">
      <c r="A59" s="181"/>
      <c r="B59" s="181"/>
      <c r="C59" s="181"/>
      <c r="D59" s="181"/>
      <c r="E59" s="181"/>
      <c r="F59" s="181"/>
      <c r="G59" s="181"/>
      <c r="H59" s="181"/>
      <c r="I59" s="181"/>
    </row>
    <row r="60" spans="1:9" x14ac:dyDescent="0.25">
      <c r="A60" s="181"/>
      <c r="B60" s="181"/>
      <c r="C60" s="181"/>
      <c r="D60" s="181"/>
      <c r="E60" s="181"/>
      <c r="F60" s="181"/>
      <c r="G60" s="181"/>
      <c r="H60" s="181"/>
      <c r="I60" s="181"/>
    </row>
    <row r="61" spans="1:9" x14ac:dyDescent="0.25">
      <c r="A61" s="181"/>
      <c r="B61" s="181"/>
      <c r="C61" s="181"/>
      <c r="D61" s="181"/>
      <c r="E61" s="181"/>
      <c r="F61" s="181"/>
      <c r="G61" s="181"/>
      <c r="H61" s="181"/>
      <c r="I61" s="181"/>
    </row>
    <row r="62" spans="1:9" x14ac:dyDescent="0.25">
      <c r="A62" s="181"/>
      <c r="B62" s="181"/>
      <c r="C62" s="181"/>
      <c r="D62" s="181"/>
      <c r="E62" s="181"/>
      <c r="F62" s="181"/>
      <c r="G62" s="181"/>
      <c r="H62" s="181"/>
      <c r="I62" s="181"/>
    </row>
    <row r="63" spans="1:9" x14ac:dyDescent="0.25">
      <c r="A63" s="181"/>
      <c r="B63" s="181"/>
      <c r="C63" s="181"/>
      <c r="D63" s="181"/>
      <c r="E63" s="181"/>
      <c r="F63" s="181"/>
      <c r="G63" s="181"/>
      <c r="H63" s="181"/>
      <c r="I63" s="181"/>
    </row>
    <row r="64" spans="1:9" x14ac:dyDescent="0.25">
      <c r="A64" s="181"/>
      <c r="B64" s="181"/>
      <c r="C64" s="181"/>
      <c r="D64" s="181"/>
      <c r="E64" s="181"/>
      <c r="F64" s="181"/>
      <c r="G64" s="181"/>
      <c r="H64" s="181"/>
      <c r="I64" s="181"/>
    </row>
    <row r="65" spans="1:9" x14ac:dyDescent="0.25">
      <c r="A65" s="181"/>
      <c r="B65" s="181"/>
      <c r="C65" s="181"/>
      <c r="D65" s="181"/>
      <c r="E65" s="181"/>
      <c r="F65" s="181"/>
      <c r="G65" s="181"/>
      <c r="H65" s="181"/>
      <c r="I65" s="181"/>
    </row>
    <row r="66" spans="1:9" x14ac:dyDescent="0.25">
      <c r="A66" s="181"/>
      <c r="B66" s="181"/>
      <c r="C66" s="181"/>
      <c r="D66" s="181"/>
      <c r="E66" s="181"/>
      <c r="F66" s="181"/>
      <c r="G66" s="181"/>
      <c r="H66" s="181"/>
      <c r="I66" s="181"/>
    </row>
    <row r="67" spans="1:9" x14ac:dyDescent="0.25">
      <c r="A67" s="181"/>
      <c r="B67" s="181"/>
      <c r="C67" s="181"/>
      <c r="D67" s="181"/>
      <c r="E67" s="181"/>
      <c r="F67" s="181"/>
      <c r="G67" s="181"/>
      <c r="H67" s="181"/>
      <c r="I67" s="181"/>
    </row>
    <row r="68" spans="1:9" x14ac:dyDescent="0.25">
      <c r="A68" s="181"/>
      <c r="B68" s="181"/>
      <c r="C68" s="181"/>
      <c r="D68" s="181"/>
      <c r="E68" s="181"/>
      <c r="F68" s="181"/>
      <c r="G68" s="181"/>
      <c r="H68" s="181"/>
      <c r="I68" s="181"/>
    </row>
  </sheetData>
  <mergeCells count="20">
    <mergeCell ref="A43:I43"/>
    <mergeCell ref="A44:I68"/>
    <mergeCell ref="D11:O11"/>
    <mergeCell ref="Q11:AB11"/>
    <mergeCell ref="N10:P10"/>
    <mergeCell ref="N4:P4"/>
    <mergeCell ref="N3:AB3"/>
    <mergeCell ref="A3:L10"/>
    <mergeCell ref="A37:C41"/>
    <mergeCell ref="D37:I41"/>
    <mergeCell ref="N5:P5"/>
    <mergeCell ref="N6:P6"/>
    <mergeCell ref="N7:P7"/>
    <mergeCell ref="N8:P8"/>
    <mergeCell ref="N9:P9"/>
    <mergeCell ref="W1:Y1"/>
    <mergeCell ref="Z1:AB1"/>
    <mergeCell ref="A1:I1"/>
    <mergeCell ref="J1:N1"/>
    <mergeCell ref="O1:V1"/>
  </mergeCells>
  <conditionalFormatting sqref="Q24:AB35">
    <cfRule type="expression" dxfId="7" priority="4">
      <formula>ISNA(Q24)</formula>
    </cfRule>
  </conditionalFormatting>
  <conditionalFormatting sqref="B31:O31 B17:O17">
    <cfRule type="cellIs" dxfId="6" priority="3" operator="equal">
      <formula>0</formula>
    </cfRule>
  </conditionalFormatting>
  <conditionalFormatting sqref="B21:O21">
    <cfRule type="cellIs" dxfId="5" priority="2" operator="equal">
      <formula>0</formula>
    </cfRule>
  </conditionalFormatting>
  <conditionalFormatting sqref="B35:O35">
    <cfRule type="cellIs" dxfId="4" priority="1" operator="equal">
      <formula>0</formula>
    </cfRule>
  </conditionalFormatting>
  <pageMargins left="0.11811023622047245" right="0.11811023622047245" top="0.15748031496062992" bottom="0.15748031496062992" header="0.11811023622047245" footer="0.11811023622047245"/>
  <pageSetup paperSize="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78"/>
  <sheetViews>
    <sheetView showGridLines="0" zoomScaleNormal="100" workbookViewId="0">
      <selection activeCell="I55" sqref="I55"/>
    </sheetView>
  </sheetViews>
  <sheetFormatPr baseColWidth="10" defaultRowHeight="15" x14ac:dyDescent="0.25"/>
  <cols>
    <col min="1" max="1" width="32.85546875" style="4" customWidth="1"/>
    <col min="2" max="16" width="11.42578125" style="4"/>
    <col min="17" max="28" width="11.42578125" style="43"/>
    <col min="29" max="16384" width="11.42578125" style="4"/>
  </cols>
  <sheetData>
    <row r="1" spans="1:31" ht="43.5" customHeight="1" x14ac:dyDescent="0.25">
      <c r="A1" s="190" t="s">
        <v>14</v>
      </c>
      <c r="B1" s="190"/>
      <c r="C1" s="190"/>
      <c r="D1" s="190"/>
      <c r="E1" s="190"/>
      <c r="F1" s="190"/>
      <c r="G1" s="190"/>
      <c r="H1" s="190"/>
      <c r="I1" s="190"/>
      <c r="J1" s="183" t="str">
        <f>'Page de garde'!A1</f>
        <v>Tableau de bord de suivi mensuel</v>
      </c>
      <c r="K1" s="183"/>
      <c r="L1" s="183"/>
      <c r="M1" s="183"/>
      <c r="N1" s="183"/>
      <c r="O1" s="183" t="str">
        <f>'Page de garde'!B4</f>
        <v>CH xxx</v>
      </c>
      <c r="P1" s="183"/>
      <c r="Q1" s="183"/>
      <c r="R1" s="183"/>
      <c r="S1" s="183"/>
      <c r="T1" s="183"/>
      <c r="U1" s="183"/>
      <c r="V1" s="183"/>
      <c r="W1" s="183" t="s">
        <v>97</v>
      </c>
      <c r="X1" s="183"/>
      <c r="Y1" s="187"/>
      <c r="Z1" s="188" t="str">
        <f>'Page de garde'!E12 &amp; " " &amp;'Page de garde'!E9</f>
        <v>mai 2019</v>
      </c>
      <c r="AA1" s="189"/>
      <c r="AB1" s="189"/>
    </row>
    <row r="2" spans="1:31" ht="15.75" thickBot="1" x14ac:dyDescent="0.3"/>
    <row r="3" spans="1:31" s="6" customFormat="1" ht="15.75" customHeight="1" x14ac:dyDescent="0.25">
      <c r="A3" s="191" t="s">
        <v>122</v>
      </c>
      <c r="B3" s="191"/>
      <c r="C3" s="191"/>
      <c r="D3" s="191"/>
      <c r="E3" s="191"/>
      <c r="F3" s="191"/>
      <c r="G3" s="191"/>
      <c r="H3" s="191"/>
      <c r="I3" s="191"/>
      <c r="J3" s="191"/>
      <c r="K3" s="191"/>
      <c r="L3" s="191"/>
      <c r="N3" s="184" t="str">
        <f>"Ecart avec les données de l'année " &amp; année-1</f>
        <v>Ecart avec les données de l'année 2018</v>
      </c>
      <c r="O3" s="185"/>
      <c r="P3" s="185"/>
      <c r="Q3" s="185"/>
      <c r="R3" s="185"/>
      <c r="S3" s="185"/>
      <c r="T3" s="185"/>
      <c r="U3" s="185"/>
      <c r="V3" s="185"/>
      <c r="W3" s="185"/>
      <c r="X3" s="185"/>
      <c r="Y3" s="185"/>
      <c r="Z3" s="185"/>
      <c r="AA3" s="185"/>
      <c r="AB3" s="186"/>
      <c r="AC3" s="43"/>
      <c r="AD3" s="4"/>
      <c r="AE3" s="4"/>
    </row>
    <row r="4" spans="1:31" s="6" customFormat="1" ht="30" x14ac:dyDescent="0.25">
      <c r="A4" s="191"/>
      <c r="B4" s="191"/>
      <c r="C4" s="191"/>
      <c r="D4" s="191"/>
      <c r="E4" s="191"/>
      <c r="F4" s="191"/>
      <c r="G4" s="191"/>
      <c r="H4" s="191"/>
      <c r="I4" s="191"/>
      <c r="J4" s="191"/>
      <c r="K4" s="191"/>
      <c r="L4" s="191"/>
      <c r="N4" s="168"/>
      <c r="O4" s="167"/>
      <c r="P4" s="167"/>
      <c r="Q4" s="60" t="str">
        <f>"à fin janv " &amp; année</f>
        <v>à fin janv 2019</v>
      </c>
      <c r="R4" s="60" t="str">
        <f>"à fin fév " &amp; année</f>
        <v>à fin fév 2019</v>
      </c>
      <c r="S4" s="60" t="str">
        <f>"à fin mars " &amp; année</f>
        <v>à fin mars 2019</v>
      </c>
      <c r="T4" s="60" t="str">
        <f>"à fin avril " &amp; année</f>
        <v>à fin avril 2019</v>
      </c>
      <c r="U4" s="60" t="str">
        <f>"à fin mai " &amp; année</f>
        <v>à fin mai 2019</v>
      </c>
      <c r="V4" s="60" t="str">
        <f>"à fin juin " &amp; année</f>
        <v>à fin juin 2019</v>
      </c>
      <c r="W4" s="60" t="str">
        <f>"à fin juil " &amp; année</f>
        <v>à fin juil 2019</v>
      </c>
      <c r="X4" s="60" t="str">
        <f>"à fin août " &amp; année</f>
        <v>à fin août 2019</v>
      </c>
      <c r="Y4" s="60" t="str">
        <f>"à fin sept " &amp; année</f>
        <v>à fin sept 2019</v>
      </c>
      <c r="Z4" s="60" t="str">
        <f>"à fin oct " &amp; année</f>
        <v>à fin oct 2019</v>
      </c>
      <c r="AA4" s="60" t="str">
        <f>"à fin nov " &amp; année</f>
        <v>à fin nov 2019</v>
      </c>
      <c r="AB4" s="61" t="str">
        <f>"à fin déc " &amp; année</f>
        <v>à fin déc 2019</v>
      </c>
      <c r="AC4" s="43"/>
      <c r="AD4" s="4"/>
      <c r="AE4" s="4"/>
    </row>
    <row r="5" spans="1:31" s="6" customFormat="1" ht="15" customHeight="1" x14ac:dyDescent="0.25">
      <c r="A5" s="191"/>
      <c r="B5" s="191"/>
      <c r="C5" s="191"/>
      <c r="D5" s="191"/>
      <c r="E5" s="191"/>
      <c r="F5" s="191"/>
      <c r="G5" s="191"/>
      <c r="H5" s="191"/>
      <c r="I5" s="191"/>
      <c r="J5" s="191"/>
      <c r="K5" s="191"/>
      <c r="L5" s="191"/>
      <c r="N5" s="207" t="s">
        <v>23</v>
      </c>
      <c r="O5" s="208"/>
      <c r="P5" s="208"/>
      <c r="Q5" s="80" t="str">
        <f>IFERROR((Q19-'Base données mensuelles n-1'!B59)/'Base données mensuelles n-1'!B59, "-")</f>
        <v>-</v>
      </c>
      <c r="R5" s="80" t="str">
        <f>IFERROR((R19-'Base données mensuelles n-1'!C59)/'Base données mensuelles n-1'!C59, "-")</f>
        <v>-</v>
      </c>
      <c r="S5" s="80" t="str">
        <f>IFERROR((S19-'Base données mensuelles n-1'!D59)/'Base données mensuelles n-1'!D59, "-")</f>
        <v>-</v>
      </c>
      <c r="T5" s="80" t="str">
        <f>IFERROR((T19-'Base données mensuelles n-1'!E59)/'Base données mensuelles n-1'!E59, "-")</f>
        <v>-</v>
      </c>
      <c r="U5" s="80" t="str">
        <f>IFERROR((U19-'Base données mensuelles n-1'!F59)/'Base données mensuelles n-1'!F59, "-")</f>
        <v>-</v>
      </c>
      <c r="V5" s="80" t="str">
        <f>IFERROR((V19-'Base données mensuelles n-1'!G59)/'Base données mensuelles n-1'!G59, "-")</f>
        <v>-</v>
      </c>
      <c r="W5" s="80" t="str">
        <f>IFERROR((W19-'Base données mensuelles n-1'!H59)/'Base données mensuelles n-1'!H59, "-")</f>
        <v>-</v>
      </c>
      <c r="X5" s="80" t="str">
        <f>IFERROR((X19-'Base données mensuelles n-1'!I59)/'Base données mensuelles n-1'!I59, "-")</f>
        <v>-</v>
      </c>
      <c r="Y5" s="80" t="str">
        <f>IFERROR((Y19-'Base données mensuelles n-1'!J59)/'Base données mensuelles n-1'!J59, "-")</f>
        <v>-</v>
      </c>
      <c r="Z5" s="80" t="str">
        <f>IFERROR((Z19-'Base données mensuelles n-1'!K59)/'Base données mensuelles n-1'!K59, "-")</f>
        <v>-</v>
      </c>
      <c r="AA5" s="80" t="str">
        <f>IFERROR((AA19-'Base données mensuelles n-1'!L59)/'Base données mensuelles n-1'!L59, "-")</f>
        <v>-</v>
      </c>
      <c r="AB5" s="81" t="str">
        <f>IFERROR((AB19-'Base données mensuelles n-1'!M59)/'Base données mensuelles n-1'!M59, "-")</f>
        <v>-</v>
      </c>
      <c r="AC5" s="43"/>
      <c r="AD5" s="4"/>
      <c r="AE5" s="4"/>
    </row>
    <row r="6" spans="1:31" s="6" customFormat="1" ht="15" customHeight="1" x14ac:dyDescent="0.25">
      <c r="A6" s="191"/>
      <c r="B6" s="191"/>
      <c r="C6" s="191"/>
      <c r="D6" s="191"/>
      <c r="E6" s="191"/>
      <c r="F6" s="191"/>
      <c r="G6" s="191"/>
      <c r="H6" s="191"/>
      <c r="I6" s="191"/>
      <c r="J6" s="191"/>
      <c r="K6" s="191"/>
      <c r="L6" s="191"/>
      <c r="N6" s="216" t="s">
        <v>19</v>
      </c>
      <c r="O6" s="217"/>
      <c r="P6" s="217"/>
      <c r="Q6" s="80" t="str">
        <f>IFERROR((Q21-'Base données mensuelles n-1'!B60)/'Base données mensuelles n-1'!B60, "-")</f>
        <v>-</v>
      </c>
      <c r="R6" s="80" t="str">
        <f>IFERROR((R21-'Base données mensuelles n-1'!C60)/'Base données mensuelles n-1'!C60, "-")</f>
        <v>-</v>
      </c>
      <c r="S6" s="80" t="str">
        <f>IFERROR((S21-'Base données mensuelles n-1'!D60)/'Base données mensuelles n-1'!D60, "-")</f>
        <v>-</v>
      </c>
      <c r="T6" s="80" t="str">
        <f>IFERROR((T21-'Base données mensuelles n-1'!E60)/'Base données mensuelles n-1'!E60, "-")</f>
        <v>-</v>
      </c>
      <c r="U6" s="80" t="str">
        <f>IFERROR((U21-'Base données mensuelles n-1'!F60)/'Base données mensuelles n-1'!F60, "-")</f>
        <v>-</v>
      </c>
      <c r="V6" s="80" t="str">
        <f>IFERROR((V21-'Base données mensuelles n-1'!G60)/'Base données mensuelles n-1'!G60, "-")</f>
        <v>-</v>
      </c>
      <c r="W6" s="80" t="str">
        <f>IFERROR((W21-'Base données mensuelles n-1'!H60)/'Base données mensuelles n-1'!H60, "-")</f>
        <v>-</v>
      </c>
      <c r="X6" s="80" t="str">
        <f>IFERROR((X21-'Base données mensuelles n-1'!I60)/'Base données mensuelles n-1'!I60, "-")</f>
        <v>-</v>
      </c>
      <c r="Y6" s="80" t="str">
        <f>IFERROR((Y21-'Base données mensuelles n-1'!J60)/'Base données mensuelles n-1'!J60, "-")</f>
        <v>-</v>
      </c>
      <c r="Z6" s="80" t="str">
        <f>IFERROR((Z21-'Base données mensuelles n-1'!K60)/'Base données mensuelles n-1'!K60, "-")</f>
        <v>-</v>
      </c>
      <c r="AA6" s="80" t="str">
        <f>IFERROR((AA21-'Base données mensuelles n-1'!L60)/'Base données mensuelles n-1'!L60, "-")</f>
        <v>-</v>
      </c>
      <c r="AB6" s="81" t="str">
        <f>IFERROR((AB21-'Base données mensuelles n-1'!M60)/'Base données mensuelles n-1'!M60, "-")</f>
        <v>-</v>
      </c>
      <c r="AC6" s="43"/>
      <c r="AE6" s="4"/>
    </row>
    <row r="7" spans="1:31" s="6" customFormat="1" ht="15" customHeight="1" x14ac:dyDescent="0.25">
      <c r="A7" s="191"/>
      <c r="B7" s="191"/>
      <c r="C7" s="191"/>
      <c r="D7" s="191"/>
      <c r="E7" s="191"/>
      <c r="F7" s="191"/>
      <c r="G7" s="191"/>
      <c r="H7" s="191"/>
      <c r="I7" s="191"/>
      <c r="J7" s="191"/>
      <c r="K7" s="191"/>
      <c r="L7" s="191"/>
      <c r="N7" s="216" t="s">
        <v>48</v>
      </c>
      <c r="O7" s="217"/>
      <c r="P7" s="217"/>
      <c r="Q7" s="80" t="str">
        <f>IFERROR((Q23-'Base données mensuelles n-1'!B61)/'Base données mensuelles n-1'!B61, "-")</f>
        <v>-</v>
      </c>
      <c r="R7" s="80" t="str">
        <f>IFERROR((R23-'Base données mensuelles n-1'!C61)/'Base données mensuelles n-1'!C61, "-")</f>
        <v>-</v>
      </c>
      <c r="S7" s="80" t="str">
        <f>IFERROR((S23-'Base données mensuelles n-1'!D61)/'Base données mensuelles n-1'!D61, "-")</f>
        <v>-</v>
      </c>
      <c r="T7" s="80" t="str">
        <f>IFERROR((T23-'Base données mensuelles n-1'!E61)/'Base données mensuelles n-1'!E61, "-")</f>
        <v>-</v>
      </c>
      <c r="U7" s="80" t="str">
        <f>IFERROR((U23-'Base données mensuelles n-1'!F61)/'Base données mensuelles n-1'!F61, "-")</f>
        <v>-</v>
      </c>
      <c r="V7" s="80" t="str">
        <f>IFERROR((V23-'Base données mensuelles n-1'!G61)/'Base données mensuelles n-1'!G61, "-")</f>
        <v>-</v>
      </c>
      <c r="W7" s="80" t="str">
        <f>IFERROR((W23-'Base données mensuelles n-1'!H61)/'Base données mensuelles n-1'!H61, "-")</f>
        <v>-</v>
      </c>
      <c r="X7" s="80" t="str">
        <f>IFERROR((X23-'Base données mensuelles n-1'!I61)/'Base données mensuelles n-1'!I61, "-")</f>
        <v>-</v>
      </c>
      <c r="Y7" s="80" t="str">
        <f>IFERROR((Y23-'Base données mensuelles n-1'!J61)/'Base données mensuelles n-1'!J61, "-")</f>
        <v>-</v>
      </c>
      <c r="Z7" s="80" t="str">
        <f>IFERROR((Z23-'Base données mensuelles n-1'!K61)/'Base données mensuelles n-1'!K61, "-")</f>
        <v>-</v>
      </c>
      <c r="AA7" s="80" t="str">
        <f>IFERROR((AA23-'Base données mensuelles n-1'!L61)/'Base données mensuelles n-1'!L61, "-")</f>
        <v>-</v>
      </c>
      <c r="AB7" s="81" t="str">
        <f>IFERROR((AB23-'Base données mensuelles n-1'!M61)/'Base données mensuelles n-1'!M61, "-")</f>
        <v>-</v>
      </c>
      <c r="AC7" s="43"/>
      <c r="AD7" s="4"/>
      <c r="AE7" s="4"/>
    </row>
    <row r="8" spans="1:31" s="6" customFormat="1" x14ac:dyDescent="0.25">
      <c r="A8" s="191"/>
      <c r="B8" s="191"/>
      <c r="C8" s="191"/>
      <c r="D8" s="191"/>
      <c r="E8" s="191"/>
      <c r="F8" s="191"/>
      <c r="G8" s="191"/>
      <c r="H8" s="191"/>
      <c r="I8" s="191"/>
      <c r="J8" s="191"/>
      <c r="K8" s="191"/>
      <c r="L8" s="191"/>
      <c r="N8" s="207" t="s">
        <v>15</v>
      </c>
      <c r="O8" s="208"/>
      <c r="P8" s="208"/>
      <c r="Q8" s="80" t="str">
        <f>IFERROR((Q26-'Base données mensuelles n-1'!B62)/'Base données mensuelles n-1'!B62, "-")</f>
        <v>-</v>
      </c>
      <c r="R8" s="80" t="str">
        <f>IFERROR((R26-'Base données mensuelles n-1'!C62)/'Base données mensuelles n-1'!C62, "-")</f>
        <v>-</v>
      </c>
      <c r="S8" s="80" t="str">
        <f>IFERROR((S26-'Base données mensuelles n-1'!D62)/'Base données mensuelles n-1'!D62, "-")</f>
        <v>-</v>
      </c>
      <c r="T8" s="80" t="str">
        <f>IFERROR((T26-'Base données mensuelles n-1'!E62)/'Base données mensuelles n-1'!E62, "-")</f>
        <v>-</v>
      </c>
      <c r="U8" s="80" t="str">
        <f>IFERROR((U26-'Base données mensuelles n-1'!F62)/'Base données mensuelles n-1'!F62, "-")</f>
        <v>-</v>
      </c>
      <c r="V8" s="80" t="str">
        <f>IFERROR((V26-'Base données mensuelles n-1'!G62)/'Base données mensuelles n-1'!G62, "-")</f>
        <v>-</v>
      </c>
      <c r="W8" s="80" t="str">
        <f>IFERROR((W26-'Base données mensuelles n-1'!H62)/'Base données mensuelles n-1'!H62, "-")</f>
        <v>-</v>
      </c>
      <c r="X8" s="80" t="str">
        <f>IFERROR((X26-'Base données mensuelles n-1'!I62)/'Base données mensuelles n-1'!I62, "-")</f>
        <v>-</v>
      </c>
      <c r="Y8" s="80" t="str">
        <f>IFERROR((Y26-'Base données mensuelles n-1'!J62)/'Base données mensuelles n-1'!J62, "-")</f>
        <v>-</v>
      </c>
      <c r="Z8" s="80" t="str">
        <f>IFERROR((Z26-'Base données mensuelles n-1'!K62)/'Base données mensuelles n-1'!K62, "-")</f>
        <v>-</v>
      </c>
      <c r="AA8" s="80" t="str">
        <f>IFERROR((AA26-'Base données mensuelles n-1'!L62)/'Base données mensuelles n-1'!L62, "-")</f>
        <v>-</v>
      </c>
      <c r="AB8" s="81" t="str">
        <f>IFERROR((AB26-'Base données mensuelles n-1'!M62)/'Base données mensuelles n-1'!M62, "-")</f>
        <v>-</v>
      </c>
      <c r="AC8" s="43"/>
      <c r="AD8" s="4"/>
      <c r="AE8" s="4"/>
    </row>
    <row r="9" spans="1:31" s="6" customFormat="1" ht="15" customHeight="1" x14ac:dyDescent="0.25">
      <c r="A9" s="191"/>
      <c r="B9" s="191"/>
      <c r="C9" s="191"/>
      <c r="D9" s="191"/>
      <c r="E9" s="191"/>
      <c r="F9" s="191"/>
      <c r="G9" s="191"/>
      <c r="H9" s="191"/>
      <c r="I9" s="191"/>
      <c r="J9" s="191"/>
      <c r="K9" s="191"/>
      <c r="L9" s="191"/>
      <c r="N9" s="209" t="s">
        <v>18</v>
      </c>
      <c r="O9" s="210"/>
      <c r="P9" s="210"/>
      <c r="Q9" s="82" t="str">
        <f>IFERROR((Q27-'Base données mensuelles n-1'!B63)/'Base données mensuelles n-1'!B63, "-")</f>
        <v>-</v>
      </c>
      <c r="R9" s="82" t="str">
        <f>IFERROR((R27-'Base données mensuelles n-1'!C63)/'Base données mensuelles n-1'!C63, "-")</f>
        <v>-</v>
      </c>
      <c r="S9" s="82" t="str">
        <f>IFERROR((S27-'Base données mensuelles n-1'!D63)/'Base données mensuelles n-1'!D63, "-")</f>
        <v>-</v>
      </c>
      <c r="T9" s="82" t="str">
        <f>IFERROR((T27-'Base données mensuelles n-1'!E63)/'Base données mensuelles n-1'!E63, "-")</f>
        <v>-</v>
      </c>
      <c r="U9" s="82" t="str">
        <f>IFERROR((U27-'Base données mensuelles n-1'!F63)/'Base données mensuelles n-1'!F63, "-")</f>
        <v>-</v>
      </c>
      <c r="V9" s="82" t="str">
        <f>IFERROR((V27-'Base données mensuelles n-1'!G63)/'Base données mensuelles n-1'!G63, "-")</f>
        <v>-</v>
      </c>
      <c r="W9" s="82" t="str">
        <f>IFERROR((W27-'Base données mensuelles n-1'!H63)/'Base données mensuelles n-1'!H63, "-")</f>
        <v>-</v>
      </c>
      <c r="X9" s="82" t="str">
        <f>IFERROR((X27-'Base données mensuelles n-1'!I63)/'Base données mensuelles n-1'!I63, "-")</f>
        <v>-</v>
      </c>
      <c r="Y9" s="82" t="str">
        <f>IFERROR((Y27-'Base données mensuelles n-1'!J63)/'Base données mensuelles n-1'!J63, "-")</f>
        <v>-</v>
      </c>
      <c r="Z9" s="82" t="str">
        <f>IFERROR((Z27-'Base données mensuelles n-1'!K63)/'Base données mensuelles n-1'!K63, "-")</f>
        <v>-</v>
      </c>
      <c r="AA9" s="82" t="str">
        <f>IFERROR((AA27-'Base données mensuelles n-1'!L63)/'Base données mensuelles n-1'!L63, "-")</f>
        <v>-</v>
      </c>
      <c r="AB9" s="83" t="str">
        <f>IFERROR((AB27-'Base données mensuelles n-1'!M63)/'Base données mensuelles n-1'!M63, "-")</f>
        <v>-</v>
      </c>
      <c r="AC9" s="43"/>
      <c r="AD9" s="4"/>
      <c r="AE9" s="4"/>
    </row>
    <row r="10" spans="1:31" s="6" customFormat="1" ht="15" customHeight="1" x14ac:dyDescent="0.25">
      <c r="A10" s="191"/>
      <c r="B10" s="191"/>
      <c r="C10" s="191"/>
      <c r="D10" s="191"/>
      <c r="E10" s="191"/>
      <c r="F10" s="191"/>
      <c r="G10" s="191"/>
      <c r="H10" s="191"/>
      <c r="I10" s="191"/>
      <c r="J10" s="191"/>
      <c r="K10" s="191"/>
      <c r="L10" s="191"/>
      <c r="N10" s="209" t="s">
        <v>19</v>
      </c>
      <c r="O10" s="210"/>
      <c r="P10" s="210"/>
      <c r="Q10" s="82" t="str">
        <f>IFERROR((Q28-'Base données mensuelles n-1'!B64)/'Base données mensuelles n-1'!B64, "-")</f>
        <v>-</v>
      </c>
      <c r="R10" s="82" t="str">
        <f>IFERROR((R28-'Base données mensuelles n-1'!C64)/'Base données mensuelles n-1'!C64, "-")</f>
        <v>-</v>
      </c>
      <c r="S10" s="82" t="str">
        <f>IFERROR((S28-'Base données mensuelles n-1'!D64)/'Base données mensuelles n-1'!D64, "-")</f>
        <v>-</v>
      </c>
      <c r="T10" s="82" t="str">
        <f>IFERROR((T28-'Base données mensuelles n-1'!E64)/'Base données mensuelles n-1'!E64, "-")</f>
        <v>-</v>
      </c>
      <c r="U10" s="82" t="str">
        <f>IFERROR((U28-'Base données mensuelles n-1'!F64)/'Base données mensuelles n-1'!F64, "-")</f>
        <v>-</v>
      </c>
      <c r="V10" s="82" t="str">
        <f>IFERROR((V28-'Base données mensuelles n-1'!G64)/'Base données mensuelles n-1'!G64, "-")</f>
        <v>-</v>
      </c>
      <c r="W10" s="82" t="str">
        <f>IFERROR((W28-'Base données mensuelles n-1'!H64)/'Base données mensuelles n-1'!H64, "-")</f>
        <v>-</v>
      </c>
      <c r="X10" s="82" t="str">
        <f>IFERROR((X28-'Base données mensuelles n-1'!I64)/'Base données mensuelles n-1'!I64, "-")</f>
        <v>-</v>
      </c>
      <c r="Y10" s="82" t="str">
        <f>IFERROR((Y28-'Base données mensuelles n-1'!J64)/'Base données mensuelles n-1'!J64, "-")</f>
        <v>-</v>
      </c>
      <c r="Z10" s="82" t="str">
        <f>IFERROR((Z28-'Base données mensuelles n-1'!K64)/'Base données mensuelles n-1'!K64, "-")</f>
        <v>-</v>
      </c>
      <c r="AA10" s="82" t="str">
        <f>IFERROR((AA28-'Base données mensuelles n-1'!L64)/'Base données mensuelles n-1'!L64, "-")</f>
        <v>-</v>
      </c>
      <c r="AB10" s="83" t="str">
        <f>IFERROR((AB28-'Base données mensuelles n-1'!M64)/'Base données mensuelles n-1'!M64, "-")</f>
        <v>-</v>
      </c>
      <c r="AC10" s="43"/>
      <c r="AD10" s="4"/>
      <c r="AE10" s="4"/>
    </row>
    <row r="11" spans="1:31" s="6" customFormat="1" x14ac:dyDescent="0.25">
      <c r="A11" s="191"/>
      <c r="B11" s="191"/>
      <c r="C11" s="191"/>
      <c r="D11" s="191"/>
      <c r="E11" s="191"/>
      <c r="F11" s="191"/>
      <c r="G11" s="191"/>
      <c r="H11" s="191"/>
      <c r="I11" s="191"/>
      <c r="J11" s="191"/>
      <c r="K11" s="191"/>
      <c r="L11" s="191"/>
      <c r="N11" s="207" t="s">
        <v>16</v>
      </c>
      <c r="O11" s="208"/>
      <c r="P11" s="208"/>
      <c r="Q11" s="80" t="str">
        <f>IFERROR((Q29-'Base données mensuelles n-1'!B65)/'Base données mensuelles n-1'!B65, "-")</f>
        <v>-</v>
      </c>
      <c r="R11" s="80" t="str">
        <f>IFERROR((R29-'Base données mensuelles n-1'!C65)/'Base données mensuelles n-1'!C65, "-")</f>
        <v>-</v>
      </c>
      <c r="S11" s="80" t="str">
        <f>IFERROR((S29-'Base données mensuelles n-1'!D65)/'Base données mensuelles n-1'!D65, "-")</f>
        <v>-</v>
      </c>
      <c r="T11" s="80" t="str">
        <f>IFERROR((T29-'Base données mensuelles n-1'!E65)/'Base données mensuelles n-1'!E65, "-")</f>
        <v>-</v>
      </c>
      <c r="U11" s="80" t="str">
        <f>IFERROR((U29-'Base données mensuelles n-1'!F65)/'Base données mensuelles n-1'!F65, "-")</f>
        <v>-</v>
      </c>
      <c r="V11" s="80" t="str">
        <f>IFERROR((V29-'Base données mensuelles n-1'!G65)/'Base données mensuelles n-1'!G65, "-")</f>
        <v>-</v>
      </c>
      <c r="W11" s="80" t="str">
        <f>IFERROR((W29-'Base données mensuelles n-1'!H65)/'Base données mensuelles n-1'!H65, "-")</f>
        <v>-</v>
      </c>
      <c r="X11" s="80" t="str">
        <f>IFERROR((X29-'Base données mensuelles n-1'!I65)/'Base données mensuelles n-1'!I65, "-")</f>
        <v>-</v>
      </c>
      <c r="Y11" s="80" t="str">
        <f>IFERROR((Y29-'Base données mensuelles n-1'!J65)/'Base données mensuelles n-1'!J65, "-")</f>
        <v>-</v>
      </c>
      <c r="Z11" s="80" t="str">
        <f>IFERROR((Z29-'Base données mensuelles n-1'!K65)/'Base données mensuelles n-1'!K65, "-")</f>
        <v>-</v>
      </c>
      <c r="AA11" s="80" t="str">
        <f>IFERROR((AA29-'Base données mensuelles n-1'!L65)/'Base données mensuelles n-1'!L65, "-")</f>
        <v>-</v>
      </c>
      <c r="AB11" s="81" t="str">
        <f>IFERROR((AB29-'Base données mensuelles n-1'!M65)/'Base données mensuelles n-1'!M65, "-")</f>
        <v>-</v>
      </c>
      <c r="AC11" s="43"/>
      <c r="AD11" s="4"/>
      <c r="AE11" s="4"/>
    </row>
    <row r="12" spans="1:31" s="6" customFormat="1" ht="15" customHeight="1" x14ac:dyDescent="0.25">
      <c r="A12" s="191"/>
      <c r="B12" s="191"/>
      <c r="C12" s="191"/>
      <c r="D12" s="191"/>
      <c r="E12" s="191"/>
      <c r="F12" s="191"/>
      <c r="G12" s="191"/>
      <c r="H12" s="191"/>
      <c r="I12" s="191"/>
      <c r="J12" s="191"/>
      <c r="K12" s="191"/>
      <c r="L12" s="191"/>
      <c r="N12" s="209" t="s">
        <v>20</v>
      </c>
      <c r="O12" s="210"/>
      <c r="P12" s="210"/>
      <c r="Q12" s="82" t="str">
        <f>IFERROR((Q30-'Base données mensuelles n-1'!B66)/'Base données mensuelles n-1'!B66, "-")</f>
        <v>-</v>
      </c>
      <c r="R12" s="82" t="str">
        <f>IFERROR((R30-'Base données mensuelles n-1'!C66)/'Base données mensuelles n-1'!C66, "-")</f>
        <v>-</v>
      </c>
      <c r="S12" s="82" t="str">
        <f>IFERROR((S30-'Base données mensuelles n-1'!D66)/'Base données mensuelles n-1'!D66, "-")</f>
        <v>-</v>
      </c>
      <c r="T12" s="82" t="str">
        <f>IFERROR((T30-'Base données mensuelles n-1'!E66)/'Base données mensuelles n-1'!E66, "-")</f>
        <v>-</v>
      </c>
      <c r="U12" s="82" t="str">
        <f>IFERROR((U30-'Base données mensuelles n-1'!F66)/'Base données mensuelles n-1'!F66, "-")</f>
        <v>-</v>
      </c>
      <c r="V12" s="82" t="str">
        <f>IFERROR((V30-'Base données mensuelles n-1'!G66)/'Base données mensuelles n-1'!G66, "-")</f>
        <v>-</v>
      </c>
      <c r="W12" s="82" t="str">
        <f>IFERROR((W30-'Base données mensuelles n-1'!H66)/'Base données mensuelles n-1'!H66, "-")</f>
        <v>-</v>
      </c>
      <c r="X12" s="82" t="str">
        <f>IFERROR((X30-'Base données mensuelles n-1'!I66)/'Base données mensuelles n-1'!I66, "-")</f>
        <v>-</v>
      </c>
      <c r="Y12" s="82" t="str">
        <f>IFERROR((Y30-'Base données mensuelles n-1'!J66)/'Base données mensuelles n-1'!J66, "-")</f>
        <v>-</v>
      </c>
      <c r="Z12" s="82" t="str">
        <f>IFERROR((Z30-'Base données mensuelles n-1'!K66)/'Base données mensuelles n-1'!K66, "-")</f>
        <v>-</v>
      </c>
      <c r="AA12" s="82" t="str">
        <f>IFERROR((AA30-'Base données mensuelles n-1'!L66)/'Base données mensuelles n-1'!L66, "-")</f>
        <v>-</v>
      </c>
      <c r="AB12" s="83" t="str">
        <f>IFERROR((AB30-'Base données mensuelles n-1'!M66)/'Base données mensuelles n-1'!M66, "-")</f>
        <v>-</v>
      </c>
      <c r="AC12" s="43"/>
      <c r="AD12" s="4"/>
      <c r="AE12" s="4"/>
    </row>
    <row r="13" spans="1:31" s="6" customFormat="1" ht="15" customHeight="1" x14ac:dyDescent="0.25">
      <c r="A13" s="191"/>
      <c r="B13" s="191"/>
      <c r="C13" s="191"/>
      <c r="D13" s="191"/>
      <c r="E13" s="191"/>
      <c r="F13" s="191"/>
      <c r="G13" s="191"/>
      <c r="H13" s="191"/>
      <c r="I13" s="191"/>
      <c r="J13" s="191"/>
      <c r="K13" s="191"/>
      <c r="L13" s="191"/>
      <c r="N13" s="209" t="s">
        <v>19</v>
      </c>
      <c r="O13" s="210"/>
      <c r="P13" s="210"/>
      <c r="Q13" s="82" t="str">
        <f>IFERROR((Q31-'Base données mensuelles n-1'!B67)/'Base données mensuelles n-1'!B67, "-")</f>
        <v>-</v>
      </c>
      <c r="R13" s="82" t="str">
        <f>IFERROR((R31-'Base données mensuelles n-1'!C67)/'Base données mensuelles n-1'!C67, "-")</f>
        <v>-</v>
      </c>
      <c r="S13" s="82" t="str">
        <f>IFERROR((S31-'Base données mensuelles n-1'!D67)/'Base données mensuelles n-1'!D67, "-")</f>
        <v>-</v>
      </c>
      <c r="T13" s="82" t="str">
        <f>IFERROR((T31-'Base données mensuelles n-1'!E67)/'Base données mensuelles n-1'!E67, "-")</f>
        <v>-</v>
      </c>
      <c r="U13" s="82" t="str">
        <f>IFERROR((U31-'Base données mensuelles n-1'!F67)/'Base données mensuelles n-1'!F67, "-")</f>
        <v>-</v>
      </c>
      <c r="V13" s="82" t="str">
        <f>IFERROR((V31-'Base données mensuelles n-1'!G67)/'Base données mensuelles n-1'!G67, "-")</f>
        <v>-</v>
      </c>
      <c r="W13" s="82" t="str">
        <f>IFERROR((W31-'Base données mensuelles n-1'!H67)/'Base données mensuelles n-1'!H67, "-")</f>
        <v>-</v>
      </c>
      <c r="X13" s="82" t="str">
        <f>IFERROR((X31-'Base données mensuelles n-1'!I67)/'Base données mensuelles n-1'!I67, "-")</f>
        <v>-</v>
      </c>
      <c r="Y13" s="82" t="str">
        <f>IFERROR((Y31-'Base données mensuelles n-1'!J67)/'Base données mensuelles n-1'!J67, "-")</f>
        <v>-</v>
      </c>
      <c r="Z13" s="82" t="str">
        <f>IFERROR((Z31-'Base données mensuelles n-1'!K67)/'Base données mensuelles n-1'!K67, "-")</f>
        <v>-</v>
      </c>
      <c r="AA13" s="82" t="str">
        <f>IFERROR((AA31-'Base données mensuelles n-1'!L67)/'Base données mensuelles n-1'!L67, "-")</f>
        <v>-</v>
      </c>
      <c r="AB13" s="83" t="str">
        <f>IFERROR((AB31-'Base données mensuelles n-1'!M67)/'Base données mensuelles n-1'!M67, "-")</f>
        <v>-</v>
      </c>
      <c r="AC13" s="43"/>
      <c r="AD13" s="4"/>
      <c r="AE13" s="4"/>
    </row>
    <row r="14" spans="1:31" s="6" customFormat="1" ht="15" customHeight="1" x14ac:dyDescent="0.25">
      <c r="A14" s="191"/>
      <c r="B14" s="191"/>
      <c r="C14" s="191"/>
      <c r="D14" s="191"/>
      <c r="E14" s="191"/>
      <c r="F14" s="191"/>
      <c r="G14" s="191"/>
      <c r="H14" s="191"/>
      <c r="I14" s="191"/>
      <c r="J14" s="191"/>
      <c r="K14" s="191"/>
      <c r="L14" s="191"/>
      <c r="N14" s="207" t="s">
        <v>17</v>
      </c>
      <c r="O14" s="208"/>
      <c r="P14" s="208"/>
      <c r="Q14" s="80" t="str">
        <f>IFERROR((Q32-'Base données mensuelles n-1'!B68)/'Base données mensuelles n-1'!B68, "-")</f>
        <v>-</v>
      </c>
      <c r="R14" s="80" t="str">
        <f>IFERROR((R32-'Base données mensuelles n-1'!C68)/'Base données mensuelles n-1'!C68, "-")</f>
        <v>-</v>
      </c>
      <c r="S14" s="80" t="str">
        <f>IFERROR((S32-'Base données mensuelles n-1'!D68)/'Base données mensuelles n-1'!D68, "-")</f>
        <v>-</v>
      </c>
      <c r="T14" s="80" t="str">
        <f>IFERROR((T32-'Base données mensuelles n-1'!E68)/'Base données mensuelles n-1'!E68, "-")</f>
        <v>-</v>
      </c>
      <c r="U14" s="80" t="str">
        <f>IFERROR((U32-'Base données mensuelles n-1'!F68)/'Base données mensuelles n-1'!F68, "-")</f>
        <v>-</v>
      </c>
      <c r="V14" s="80" t="str">
        <f>IFERROR((V32-'Base données mensuelles n-1'!G68)/'Base données mensuelles n-1'!G68, "-")</f>
        <v>-</v>
      </c>
      <c r="W14" s="80" t="str">
        <f>IFERROR((W32-'Base données mensuelles n-1'!H68)/'Base données mensuelles n-1'!H68, "-")</f>
        <v>-</v>
      </c>
      <c r="X14" s="80" t="str">
        <f>IFERROR((X32-'Base données mensuelles n-1'!I68)/'Base données mensuelles n-1'!I68, "-")</f>
        <v>-</v>
      </c>
      <c r="Y14" s="80" t="str">
        <f>IFERROR((Y32-'Base données mensuelles n-1'!J68)/'Base données mensuelles n-1'!J68, "-")</f>
        <v>-</v>
      </c>
      <c r="Z14" s="80" t="str">
        <f>IFERROR((Z32-'Base données mensuelles n-1'!K68)/'Base données mensuelles n-1'!K68, "-")</f>
        <v>-</v>
      </c>
      <c r="AA14" s="80" t="str">
        <f>IFERROR((AA32-'Base données mensuelles n-1'!L68)/'Base données mensuelles n-1'!L68, "-")</f>
        <v>-</v>
      </c>
      <c r="AB14" s="81" t="str">
        <f>IFERROR((AB32-'Base données mensuelles n-1'!M68)/'Base données mensuelles n-1'!M68, "-")</f>
        <v>-</v>
      </c>
      <c r="AC14" s="43"/>
      <c r="AD14" s="4"/>
      <c r="AE14" s="4"/>
    </row>
    <row r="15" spans="1:31" s="6" customFormat="1" ht="15" customHeight="1" x14ac:dyDescent="0.25">
      <c r="A15" s="191"/>
      <c r="B15" s="191"/>
      <c r="C15" s="191"/>
      <c r="D15" s="191"/>
      <c r="E15" s="191"/>
      <c r="F15" s="191"/>
      <c r="G15" s="191"/>
      <c r="H15" s="191"/>
      <c r="I15" s="191"/>
      <c r="J15" s="191"/>
      <c r="K15" s="191"/>
      <c r="L15" s="191"/>
      <c r="N15" s="209" t="s">
        <v>117</v>
      </c>
      <c r="O15" s="210"/>
      <c r="P15" s="210"/>
      <c r="Q15" s="82" t="str">
        <f>IFERROR((Q33-'Base données mensuelles n-1'!B69)/'Base données mensuelles n-1'!B69, "-")</f>
        <v>-</v>
      </c>
      <c r="R15" s="82" t="str">
        <f>IFERROR((R33-'Base données mensuelles n-1'!C69)/'Base données mensuelles n-1'!C69, "-")</f>
        <v>-</v>
      </c>
      <c r="S15" s="82" t="str">
        <f>IFERROR((S33-'Base données mensuelles n-1'!D69)/'Base données mensuelles n-1'!D69, "-")</f>
        <v>-</v>
      </c>
      <c r="T15" s="82" t="str">
        <f>IFERROR((T33-'Base données mensuelles n-1'!E69)/'Base données mensuelles n-1'!E69, "-")</f>
        <v>-</v>
      </c>
      <c r="U15" s="82" t="str">
        <f>IFERROR((U33-'Base données mensuelles n-1'!F69)/'Base données mensuelles n-1'!F69, "-")</f>
        <v>-</v>
      </c>
      <c r="V15" s="82" t="str">
        <f>IFERROR((V33-'Base données mensuelles n-1'!G69)/'Base données mensuelles n-1'!G69, "-")</f>
        <v>-</v>
      </c>
      <c r="W15" s="82" t="str">
        <f>IFERROR((W33-'Base données mensuelles n-1'!H69)/'Base données mensuelles n-1'!H69, "-")</f>
        <v>-</v>
      </c>
      <c r="X15" s="82" t="str">
        <f>IFERROR((X33-'Base données mensuelles n-1'!I69)/'Base données mensuelles n-1'!I69, "-")</f>
        <v>-</v>
      </c>
      <c r="Y15" s="82" t="str">
        <f>IFERROR((Y33-'Base données mensuelles n-1'!J69)/'Base données mensuelles n-1'!J69, "-")</f>
        <v>-</v>
      </c>
      <c r="Z15" s="82" t="str">
        <f>IFERROR((Z33-'Base données mensuelles n-1'!K69)/'Base données mensuelles n-1'!K69, "-")</f>
        <v>-</v>
      </c>
      <c r="AA15" s="82" t="str">
        <f>IFERROR((AA33-'Base données mensuelles n-1'!L69)/'Base données mensuelles n-1'!L69, "-")</f>
        <v>-</v>
      </c>
      <c r="AB15" s="83" t="str">
        <f>IFERROR((AB33-'Base données mensuelles n-1'!M69)/'Base données mensuelles n-1'!M69, "-")</f>
        <v>-</v>
      </c>
      <c r="AC15" s="43"/>
      <c r="AD15" s="4"/>
      <c r="AE15" s="4"/>
    </row>
    <row r="16" spans="1:31" s="6" customFormat="1" ht="15.75" thickBot="1" x14ac:dyDescent="0.3">
      <c r="A16" s="191"/>
      <c r="B16" s="191"/>
      <c r="C16" s="191"/>
      <c r="D16" s="191"/>
      <c r="E16" s="191"/>
      <c r="F16" s="191"/>
      <c r="G16" s="191"/>
      <c r="H16" s="191"/>
      <c r="I16" s="191"/>
      <c r="J16" s="191"/>
      <c r="K16" s="191"/>
      <c r="L16" s="191"/>
      <c r="N16" s="214" t="s">
        <v>25</v>
      </c>
      <c r="O16" s="215"/>
      <c r="P16" s="215"/>
      <c r="Q16" s="84" t="str">
        <f>IFERROR((Q34-'Base données mensuelles n-1'!B70)/'Base données mensuelles n-1'!B70, "-")</f>
        <v>-</v>
      </c>
      <c r="R16" s="84" t="str">
        <f>IFERROR((R34-'Base données mensuelles n-1'!C70)/'Base données mensuelles n-1'!C70, "-")</f>
        <v>-</v>
      </c>
      <c r="S16" s="84" t="str">
        <f>IFERROR((S34-'Base données mensuelles n-1'!D70)/'Base données mensuelles n-1'!D70, "-")</f>
        <v>-</v>
      </c>
      <c r="T16" s="84" t="str">
        <f>IFERROR((T34-'Base données mensuelles n-1'!E70)/'Base données mensuelles n-1'!E70, "-")</f>
        <v>-</v>
      </c>
      <c r="U16" s="84" t="str">
        <f>IFERROR((U34-'Base données mensuelles n-1'!F70)/'Base données mensuelles n-1'!F70, "-")</f>
        <v>-</v>
      </c>
      <c r="V16" s="84" t="str">
        <f>IFERROR((V34-'Base données mensuelles n-1'!G70)/'Base données mensuelles n-1'!G70, "-")</f>
        <v>-</v>
      </c>
      <c r="W16" s="84" t="str">
        <f>IFERROR((W34-'Base données mensuelles n-1'!H70)/'Base données mensuelles n-1'!H70, "-")</f>
        <v>-</v>
      </c>
      <c r="X16" s="84" t="str">
        <f>IFERROR((X34-'Base données mensuelles n-1'!I70)/'Base données mensuelles n-1'!I70, "-")</f>
        <v>-</v>
      </c>
      <c r="Y16" s="84" t="str">
        <f>IFERROR((Y34-'Base données mensuelles n-1'!J70)/'Base données mensuelles n-1'!J70, "-")</f>
        <v>-</v>
      </c>
      <c r="Z16" s="84" t="str">
        <f>IFERROR((Z34-'Base données mensuelles n-1'!K70)/'Base données mensuelles n-1'!K70, "-")</f>
        <v>-</v>
      </c>
      <c r="AA16" s="84" t="str">
        <f>IFERROR((AA34-'Base données mensuelles n-1'!L70)/'Base données mensuelles n-1'!L70, "-")</f>
        <v>-</v>
      </c>
      <c r="AB16" s="85" t="str">
        <f>IFERROR((AB34-'Base données mensuelles n-1'!M70)/'Base données mensuelles n-1'!M70, "-")</f>
        <v>-</v>
      </c>
      <c r="AC16" s="43"/>
      <c r="AD16" s="4"/>
      <c r="AE16" s="4"/>
    </row>
    <row r="17" spans="1:28" customFormat="1" ht="22.5" customHeight="1" x14ac:dyDescent="0.25">
      <c r="D17" s="193" t="s">
        <v>106</v>
      </c>
      <c r="E17" s="193"/>
      <c r="F17" s="193"/>
      <c r="G17" s="193"/>
      <c r="H17" s="193"/>
      <c r="I17" s="193"/>
      <c r="J17" s="193"/>
      <c r="K17" s="193"/>
      <c r="L17" s="193"/>
      <c r="M17" s="193"/>
      <c r="N17" s="193"/>
      <c r="O17" s="193"/>
      <c r="Q17" s="193" t="s">
        <v>107</v>
      </c>
      <c r="R17" s="193"/>
      <c r="S17" s="193"/>
      <c r="T17" s="193"/>
      <c r="U17" s="193"/>
      <c r="V17" s="193"/>
      <c r="W17" s="193"/>
      <c r="X17" s="193"/>
      <c r="Y17" s="193"/>
      <c r="Z17" s="193"/>
      <c r="AA17" s="193"/>
      <c r="AB17" s="193"/>
    </row>
    <row r="18" spans="1:28" ht="36.75" customHeight="1" x14ac:dyDescent="0.25">
      <c r="A18" s="20" t="s">
        <v>21</v>
      </c>
      <c r="B18" s="51">
        <f>année-2</f>
        <v>2017</v>
      </c>
      <c r="C18" s="51">
        <f>année-1</f>
        <v>2018</v>
      </c>
      <c r="D18" s="19" t="str">
        <f>"janv " &amp; année</f>
        <v>janv 2019</v>
      </c>
      <c r="E18" s="19" t="str">
        <f>"fév " &amp; année</f>
        <v>fév 2019</v>
      </c>
      <c r="F18" s="19" t="str">
        <f>"mars " &amp; année</f>
        <v>mars 2019</v>
      </c>
      <c r="G18" s="19" t="str">
        <f>"avril " &amp; année</f>
        <v>avril 2019</v>
      </c>
      <c r="H18" s="19" t="str">
        <f>"mai " &amp; année</f>
        <v>mai 2019</v>
      </c>
      <c r="I18" s="19" t="str">
        <f>"juin " &amp; année</f>
        <v>juin 2019</v>
      </c>
      <c r="J18" s="19" t="str">
        <f>"juil " &amp; année</f>
        <v>juil 2019</v>
      </c>
      <c r="K18" s="19" t="str">
        <f>"août " &amp; année</f>
        <v>août 2019</v>
      </c>
      <c r="L18" s="19" t="str">
        <f>"sept " &amp; année</f>
        <v>sept 2019</v>
      </c>
      <c r="M18" s="19" t="str">
        <f>"oct " &amp; année</f>
        <v>oct 2019</v>
      </c>
      <c r="N18" s="19" t="str">
        <f>"nov " &amp; année</f>
        <v>nov 2019</v>
      </c>
      <c r="O18" s="19" t="str">
        <f>"déc " &amp; année</f>
        <v>déc 2019</v>
      </c>
      <c r="Q18" s="19" t="str">
        <f>"janv " &amp; année</f>
        <v>janv 2019</v>
      </c>
      <c r="R18" s="19" t="str">
        <f>"janv-fév " &amp; année</f>
        <v>janv-fév 2019</v>
      </c>
      <c r="S18" s="19" t="str">
        <f>"janv-mars " &amp; année</f>
        <v>janv-mars 2019</v>
      </c>
      <c r="T18" s="19" t="str">
        <f>"janv-avril "&amp;année</f>
        <v>janv-avril 2019</v>
      </c>
      <c r="U18" s="19" t="str">
        <f>"janv-mai "&amp;année</f>
        <v>janv-mai 2019</v>
      </c>
      <c r="V18" s="19" t="str">
        <f>"janv-juin "&amp;année</f>
        <v>janv-juin 2019</v>
      </c>
      <c r="W18" s="19" t="str">
        <f>"janv-juil "&amp;année</f>
        <v>janv-juil 2019</v>
      </c>
      <c r="X18" s="19" t="str">
        <f>"janv-août "&amp;année</f>
        <v>janv-août 2019</v>
      </c>
      <c r="Y18" s="19" t="str">
        <f>"janv-sept "&amp;année</f>
        <v>janv-sept 2019</v>
      </c>
      <c r="Z18" s="19" t="str">
        <f>"janv-oct "&amp;année</f>
        <v>janv-oct 2019</v>
      </c>
      <c r="AA18" s="19" t="str">
        <f>"janv-nov "&amp;année</f>
        <v>janv-nov 2019</v>
      </c>
      <c r="AB18" s="19" t="str">
        <f>"janv-déc "&amp;année</f>
        <v>janv-déc 2019</v>
      </c>
    </row>
    <row r="19" spans="1:28" x14ac:dyDescent="0.25">
      <c r="A19" s="12" t="s">
        <v>23</v>
      </c>
      <c r="B19" s="64">
        <f>B21+B23</f>
        <v>0</v>
      </c>
      <c r="C19" s="64"/>
      <c r="D19" s="64" t="e">
        <f>IF(D21+D23=0,#N/A,D21+D23)</f>
        <v>#N/A</v>
      </c>
      <c r="E19" s="64" t="e">
        <f>IF(E21+E23=0, #N/A, E21+E23)</f>
        <v>#N/A</v>
      </c>
      <c r="F19" s="64" t="e">
        <f>IF(F21+F23=0,#N/A,F21+F23)</f>
        <v>#N/A</v>
      </c>
      <c r="G19" s="64" t="e">
        <f t="shared" ref="G19:O19" si="0">IF(G21+G23=0,#N/A,G21+G23)</f>
        <v>#N/A</v>
      </c>
      <c r="H19" s="64" t="e">
        <f t="shared" si="0"/>
        <v>#N/A</v>
      </c>
      <c r="I19" s="64" t="e">
        <f t="shared" si="0"/>
        <v>#N/A</v>
      </c>
      <c r="J19" s="64" t="e">
        <f t="shared" si="0"/>
        <v>#N/A</v>
      </c>
      <c r="K19" s="64" t="e">
        <f t="shared" si="0"/>
        <v>#N/A</v>
      </c>
      <c r="L19" s="64" t="e">
        <f t="shared" si="0"/>
        <v>#N/A</v>
      </c>
      <c r="M19" s="64" t="e">
        <f t="shared" si="0"/>
        <v>#N/A</v>
      </c>
      <c r="N19" s="64" t="e">
        <f t="shared" si="0"/>
        <v>#N/A</v>
      </c>
      <c r="O19" s="64" t="e">
        <f t="shared" si="0"/>
        <v>#N/A</v>
      </c>
      <c r="P19" s="65"/>
      <c r="Q19" s="64" t="e">
        <f>IF(D19=0,#N/A,D19)</f>
        <v>#N/A</v>
      </c>
      <c r="R19" s="64" t="e">
        <f>IF(E19=0,#N/A,SUM(D19:E19))</f>
        <v>#N/A</v>
      </c>
      <c r="S19" s="64" t="e">
        <f>IF(F19=0,#N/A,SUM(D19:F19))</f>
        <v>#N/A</v>
      </c>
      <c r="T19" s="64" t="e">
        <f>IF(G19=0,#N/A,SUM(D19:G19))</f>
        <v>#N/A</v>
      </c>
      <c r="U19" s="64" t="e">
        <f>IF(H19=0,#N/A,SUM(D19:H19))</f>
        <v>#N/A</v>
      </c>
      <c r="V19" s="64" t="e">
        <f>IF(I19=0,#N/A,SUM(D19:I19))</f>
        <v>#N/A</v>
      </c>
      <c r="W19" s="64" t="e">
        <f>IF(J19=0,#N/A,SUM(D19:J19))</f>
        <v>#N/A</v>
      </c>
      <c r="X19" s="64" t="e">
        <f>IF(K19=0,#N/A,SUM(D19:K19))</f>
        <v>#N/A</v>
      </c>
      <c r="Y19" s="64" t="e">
        <f>IF(L19=0,#N/A,SUM(D19:L19))</f>
        <v>#N/A</v>
      </c>
      <c r="Z19" s="64" t="e">
        <f>IF(M19=0,#N/A,SUM(D19:M19))</f>
        <v>#N/A</v>
      </c>
      <c r="AA19" s="64" t="e">
        <f>IF(N19=0,#N/A,SUM(D19:N19))</f>
        <v>#N/A</v>
      </c>
      <c r="AB19" s="64" t="e">
        <f>IF(O19=0,#N/A,SUM(D19:O19))</f>
        <v>#N/A</v>
      </c>
    </row>
    <row r="20" spans="1:28" s="14" customFormat="1" x14ac:dyDescent="0.25">
      <c r="A20" s="123" t="s">
        <v>49</v>
      </c>
      <c r="B20" s="120"/>
      <c r="C20" s="120"/>
      <c r="D20" s="122" t="e">
        <f>IF(D22+D24=0, #N/A,D22+D24)</f>
        <v>#N/A</v>
      </c>
      <c r="E20" s="122" t="e">
        <f t="shared" ref="E20:O20" si="1">IF(E22+E24=0, #N/A,E22+E24)</f>
        <v>#N/A</v>
      </c>
      <c r="F20" s="122" t="e">
        <f t="shared" si="1"/>
        <v>#N/A</v>
      </c>
      <c r="G20" s="122" t="e">
        <f t="shared" si="1"/>
        <v>#N/A</v>
      </c>
      <c r="H20" s="122" t="e">
        <f t="shared" si="1"/>
        <v>#N/A</v>
      </c>
      <c r="I20" s="122" t="e">
        <f t="shared" si="1"/>
        <v>#N/A</v>
      </c>
      <c r="J20" s="122" t="e">
        <f t="shared" si="1"/>
        <v>#N/A</v>
      </c>
      <c r="K20" s="122" t="e">
        <f t="shared" si="1"/>
        <v>#N/A</v>
      </c>
      <c r="L20" s="122" t="e">
        <f t="shared" si="1"/>
        <v>#N/A</v>
      </c>
      <c r="M20" s="122" t="e">
        <f t="shared" si="1"/>
        <v>#N/A</v>
      </c>
      <c r="N20" s="122" t="e">
        <f t="shared" si="1"/>
        <v>#N/A</v>
      </c>
      <c r="O20" s="122" t="e">
        <f t="shared" si="1"/>
        <v>#N/A</v>
      </c>
      <c r="P20" s="120"/>
      <c r="Q20" s="122" t="e">
        <f t="shared" ref="Q20:Q34" si="2">IF(D20=0,#N/A,D20)</f>
        <v>#N/A</v>
      </c>
      <c r="R20" s="122" t="e">
        <f t="shared" ref="R20:R34" si="3">IF(E20=0,#N/A,SUM(D20:E20))</f>
        <v>#N/A</v>
      </c>
      <c r="S20" s="122" t="e">
        <f t="shared" ref="S20:S34" si="4">IF(F20=0,#N/A,SUM(D20:F20))</f>
        <v>#N/A</v>
      </c>
      <c r="T20" s="122" t="e">
        <f t="shared" ref="T20:T34" si="5">IF(G20=0,#N/A,SUM(D20:G20))</f>
        <v>#N/A</v>
      </c>
      <c r="U20" s="122" t="e">
        <f t="shared" ref="U20:U34" si="6">IF(H20=0,#N/A,SUM(D20:H20))</f>
        <v>#N/A</v>
      </c>
      <c r="V20" s="122" t="e">
        <f t="shared" ref="V20:V34" si="7">IF(I20=0,#N/A,SUM(D20:I20))</f>
        <v>#N/A</v>
      </c>
      <c r="W20" s="122" t="e">
        <f t="shared" ref="W20:W34" si="8">IF(J20=0,#N/A,SUM(D20:J20))</f>
        <v>#N/A</v>
      </c>
      <c r="X20" s="122" t="e">
        <f t="shared" ref="X20:X34" si="9">IF(K20=0,#N/A,SUM(D20:K20))</f>
        <v>#N/A</v>
      </c>
      <c r="Y20" s="122" t="e">
        <f t="shared" ref="Y20:Y34" si="10">IF(L20=0,#N/A,SUM(D20:L20))</f>
        <v>#N/A</v>
      </c>
      <c r="Z20" s="122" t="e">
        <f t="shared" ref="Z20:Z34" si="11">IF(M20=0,#N/A,SUM(D20:M20))</f>
        <v>#N/A</v>
      </c>
      <c r="AA20" s="122" t="e">
        <f t="shared" ref="AA20:AA34" si="12">IF(N20=0,#N/A,SUM(D20:N20))</f>
        <v>#N/A</v>
      </c>
      <c r="AB20" s="122" t="e">
        <f t="shared" ref="AB20:AB34" si="13">IF(O20=0,#N/A,SUM(D20:O20))</f>
        <v>#N/A</v>
      </c>
    </row>
    <row r="21" spans="1:28" x14ac:dyDescent="0.25">
      <c r="A21" s="47" t="s">
        <v>19</v>
      </c>
      <c r="B21" s="108"/>
      <c r="C21" s="108"/>
      <c r="D21" s="108"/>
      <c r="E21" s="108"/>
      <c r="F21" s="108"/>
      <c r="G21" s="108"/>
      <c r="H21" s="108"/>
      <c r="I21" s="108"/>
      <c r="J21" s="108"/>
      <c r="K21" s="108"/>
      <c r="L21" s="108"/>
      <c r="M21" s="108"/>
      <c r="N21" s="108"/>
      <c r="O21" s="108"/>
      <c r="P21" s="65"/>
      <c r="Q21" s="64" t="e">
        <f t="shared" si="2"/>
        <v>#N/A</v>
      </c>
      <c r="R21" s="64" t="e">
        <f t="shared" si="3"/>
        <v>#N/A</v>
      </c>
      <c r="S21" s="64" t="e">
        <f t="shared" si="4"/>
        <v>#N/A</v>
      </c>
      <c r="T21" s="64" t="e">
        <f t="shared" si="5"/>
        <v>#N/A</v>
      </c>
      <c r="U21" s="64" t="e">
        <f t="shared" si="6"/>
        <v>#N/A</v>
      </c>
      <c r="V21" s="64" t="e">
        <f t="shared" si="7"/>
        <v>#N/A</v>
      </c>
      <c r="W21" s="64" t="e">
        <f t="shared" si="8"/>
        <v>#N/A</v>
      </c>
      <c r="X21" s="64" t="e">
        <f t="shared" si="9"/>
        <v>#N/A</v>
      </c>
      <c r="Y21" s="64" t="e">
        <f t="shared" si="10"/>
        <v>#N/A</v>
      </c>
      <c r="Z21" s="64" t="e">
        <f t="shared" si="11"/>
        <v>#N/A</v>
      </c>
      <c r="AA21" s="64" t="e">
        <f t="shared" si="12"/>
        <v>#N/A</v>
      </c>
      <c r="AB21" s="64" t="e">
        <f t="shared" si="13"/>
        <v>#N/A</v>
      </c>
    </row>
    <row r="22" spans="1:28" s="14" customFormat="1" x14ac:dyDescent="0.25">
      <c r="A22" s="119" t="s">
        <v>50</v>
      </c>
      <c r="B22" s="120"/>
      <c r="C22" s="120"/>
      <c r="D22" s="121"/>
      <c r="E22" s="121"/>
      <c r="F22" s="121"/>
      <c r="G22" s="121"/>
      <c r="H22" s="121"/>
      <c r="I22" s="121"/>
      <c r="J22" s="121"/>
      <c r="K22" s="121"/>
      <c r="L22" s="121"/>
      <c r="M22" s="121"/>
      <c r="N22" s="121"/>
      <c r="O22" s="121"/>
      <c r="P22" s="120"/>
      <c r="Q22" s="122" t="e">
        <f t="shared" si="2"/>
        <v>#N/A</v>
      </c>
      <c r="R22" s="122" t="e">
        <f t="shared" si="3"/>
        <v>#N/A</v>
      </c>
      <c r="S22" s="122" t="e">
        <f t="shared" si="4"/>
        <v>#N/A</v>
      </c>
      <c r="T22" s="122" t="e">
        <f t="shared" si="5"/>
        <v>#N/A</v>
      </c>
      <c r="U22" s="122" t="e">
        <f t="shared" si="6"/>
        <v>#N/A</v>
      </c>
      <c r="V22" s="122" t="e">
        <f t="shared" si="7"/>
        <v>#N/A</v>
      </c>
      <c r="W22" s="122" t="e">
        <f t="shared" si="8"/>
        <v>#N/A</v>
      </c>
      <c r="X22" s="122" t="e">
        <f t="shared" si="9"/>
        <v>#N/A</v>
      </c>
      <c r="Y22" s="122" t="e">
        <f t="shared" si="10"/>
        <v>#N/A</v>
      </c>
      <c r="Z22" s="122" t="e">
        <f t="shared" si="11"/>
        <v>#N/A</v>
      </c>
      <c r="AA22" s="122" t="e">
        <f t="shared" si="12"/>
        <v>#N/A</v>
      </c>
      <c r="AB22" s="122" t="e">
        <f t="shared" si="13"/>
        <v>#N/A</v>
      </c>
    </row>
    <row r="23" spans="1:28" x14ac:dyDescent="0.25">
      <c r="A23" s="47" t="s">
        <v>48</v>
      </c>
      <c r="B23" s="108"/>
      <c r="C23" s="108"/>
      <c r="D23" s="108"/>
      <c r="E23" s="108"/>
      <c r="F23" s="108"/>
      <c r="G23" s="108"/>
      <c r="H23" s="108"/>
      <c r="I23" s="108"/>
      <c r="J23" s="108"/>
      <c r="K23" s="108"/>
      <c r="L23" s="108"/>
      <c r="M23" s="108"/>
      <c r="N23" s="108"/>
      <c r="O23" s="108"/>
      <c r="P23" s="65"/>
      <c r="Q23" s="64" t="e">
        <f t="shared" si="2"/>
        <v>#N/A</v>
      </c>
      <c r="R23" s="64" t="e">
        <f t="shared" si="3"/>
        <v>#N/A</v>
      </c>
      <c r="S23" s="64" t="e">
        <f t="shared" si="4"/>
        <v>#N/A</v>
      </c>
      <c r="T23" s="64" t="e">
        <f t="shared" si="5"/>
        <v>#N/A</v>
      </c>
      <c r="U23" s="64" t="e">
        <f t="shared" si="6"/>
        <v>#N/A</v>
      </c>
      <c r="V23" s="64" t="e">
        <f t="shared" si="7"/>
        <v>#N/A</v>
      </c>
      <c r="W23" s="64" t="e">
        <f t="shared" si="8"/>
        <v>#N/A</v>
      </c>
      <c r="X23" s="64" t="e">
        <f t="shared" si="9"/>
        <v>#N/A</v>
      </c>
      <c r="Y23" s="64" t="e">
        <f t="shared" si="10"/>
        <v>#N/A</v>
      </c>
      <c r="Z23" s="64" t="e">
        <f t="shared" si="11"/>
        <v>#N/A</v>
      </c>
      <c r="AA23" s="64" t="e">
        <f t="shared" si="12"/>
        <v>#N/A</v>
      </c>
      <c r="AB23" s="64" t="e">
        <f t="shared" si="13"/>
        <v>#N/A</v>
      </c>
    </row>
    <row r="24" spans="1:28" s="14" customFormat="1" x14ac:dyDescent="0.25">
      <c r="A24" s="119" t="s">
        <v>51</v>
      </c>
      <c r="B24" s="120"/>
      <c r="C24" s="120"/>
      <c r="D24" s="121"/>
      <c r="E24" s="121"/>
      <c r="F24" s="121"/>
      <c r="G24" s="121"/>
      <c r="H24" s="121"/>
      <c r="I24" s="121"/>
      <c r="J24" s="121"/>
      <c r="K24" s="121"/>
      <c r="L24" s="121"/>
      <c r="M24" s="121"/>
      <c r="N24" s="121"/>
      <c r="O24" s="121"/>
      <c r="P24" s="120"/>
      <c r="Q24" s="122" t="e">
        <f t="shared" si="2"/>
        <v>#N/A</v>
      </c>
      <c r="R24" s="122" t="e">
        <f t="shared" si="3"/>
        <v>#N/A</v>
      </c>
      <c r="S24" s="122" t="e">
        <f t="shared" si="4"/>
        <v>#N/A</v>
      </c>
      <c r="T24" s="122" t="e">
        <f t="shared" si="5"/>
        <v>#N/A</v>
      </c>
      <c r="U24" s="122" t="e">
        <f t="shared" si="6"/>
        <v>#N/A</v>
      </c>
      <c r="V24" s="122" t="e">
        <f t="shared" si="7"/>
        <v>#N/A</v>
      </c>
      <c r="W24" s="122" t="e">
        <f t="shared" si="8"/>
        <v>#N/A</v>
      </c>
      <c r="X24" s="122" t="e">
        <f t="shared" si="9"/>
        <v>#N/A</v>
      </c>
      <c r="Y24" s="122" t="e">
        <f t="shared" si="10"/>
        <v>#N/A</v>
      </c>
      <c r="Z24" s="122" t="e">
        <f t="shared" si="11"/>
        <v>#N/A</v>
      </c>
      <c r="AA24" s="122" t="e">
        <f t="shared" si="12"/>
        <v>#N/A</v>
      </c>
      <c r="AB24" s="122" t="e">
        <f t="shared" si="13"/>
        <v>#N/A</v>
      </c>
    </row>
    <row r="25" spans="1:28" customFormat="1" ht="7.5" customHeight="1" x14ac:dyDescent="0.25">
      <c r="B25" s="66"/>
      <c r="C25" s="66"/>
      <c r="D25" s="66"/>
      <c r="E25" s="66"/>
      <c r="F25" s="66"/>
      <c r="G25" s="66"/>
      <c r="H25" s="66"/>
      <c r="I25" s="66"/>
      <c r="J25" s="66"/>
      <c r="K25" s="66"/>
      <c r="L25" s="66"/>
      <c r="M25" s="66"/>
      <c r="N25" s="66"/>
      <c r="O25" s="66"/>
      <c r="P25" s="67"/>
      <c r="Q25" s="66"/>
      <c r="R25" s="66"/>
      <c r="S25" s="66"/>
      <c r="T25" s="66"/>
      <c r="U25" s="66"/>
      <c r="V25" s="66"/>
      <c r="W25" s="66"/>
      <c r="X25" s="66"/>
      <c r="Y25" s="66"/>
      <c r="Z25" s="66"/>
      <c r="AA25" s="66"/>
      <c r="AB25" s="66"/>
    </row>
    <row r="26" spans="1:28" x14ac:dyDescent="0.25">
      <c r="A26" s="12" t="s">
        <v>15</v>
      </c>
      <c r="B26" s="64">
        <f>B27+B28</f>
        <v>0</v>
      </c>
      <c r="C26" s="64"/>
      <c r="D26" s="64">
        <f>D27+D28</f>
        <v>0</v>
      </c>
      <c r="E26" s="64">
        <f t="shared" ref="E26:O26" si="14">E27+E28</f>
        <v>0</v>
      </c>
      <c r="F26" s="64">
        <f t="shared" si="14"/>
        <v>0</v>
      </c>
      <c r="G26" s="64">
        <f t="shared" si="14"/>
        <v>0</v>
      </c>
      <c r="H26" s="64">
        <f t="shared" si="14"/>
        <v>0</v>
      </c>
      <c r="I26" s="64">
        <f t="shared" si="14"/>
        <v>0</v>
      </c>
      <c r="J26" s="64">
        <f t="shared" si="14"/>
        <v>0</v>
      </c>
      <c r="K26" s="64">
        <f t="shared" si="14"/>
        <v>0</v>
      </c>
      <c r="L26" s="64">
        <f t="shared" si="14"/>
        <v>0</v>
      </c>
      <c r="M26" s="64">
        <f t="shared" si="14"/>
        <v>0</v>
      </c>
      <c r="N26" s="64">
        <f t="shared" si="14"/>
        <v>0</v>
      </c>
      <c r="O26" s="64">
        <f t="shared" si="14"/>
        <v>0</v>
      </c>
      <c r="P26" s="65"/>
      <c r="Q26" s="64" t="e">
        <f t="shared" si="2"/>
        <v>#N/A</v>
      </c>
      <c r="R26" s="64" t="e">
        <f t="shared" si="3"/>
        <v>#N/A</v>
      </c>
      <c r="S26" s="64" t="e">
        <f t="shared" si="4"/>
        <v>#N/A</v>
      </c>
      <c r="T26" s="64" t="e">
        <f t="shared" si="5"/>
        <v>#N/A</v>
      </c>
      <c r="U26" s="64" t="e">
        <f t="shared" si="6"/>
        <v>#N/A</v>
      </c>
      <c r="V26" s="64" t="e">
        <f t="shared" si="7"/>
        <v>#N/A</v>
      </c>
      <c r="W26" s="64" t="e">
        <f t="shared" si="8"/>
        <v>#N/A</v>
      </c>
      <c r="X26" s="64" t="e">
        <f t="shared" si="9"/>
        <v>#N/A</v>
      </c>
      <c r="Y26" s="64" t="e">
        <f t="shared" si="10"/>
        <v>#N/A</v>
      </c>
      <c r="Z26" s="64" t="e">
        <f t="shared" si="11"/>
        <v>#N/A</v>
      </c>
      <c r="AA26" s="64" t="e">
        <f t="shared" si="12"/>
        <v>#N/A</v>
      </c>
      <c r="AB26" s="64" t="e">
        <f t="shared" si="13"/>
        <v>#N/A</v>
      </c>
    </row>
    <row r="27" spans="1:28" x14ac:dyDescent="0.25">
      <c r="A27" s="142" t="s">
        <v>18</v>
      </c>
      <c r="B27" s="110"/>
      <c r="C27" s="110"/>
      <c r="D27" s="110"/>
      <c r="E27" s="110"/>
      <c r="F27" s="110"/>
      <c r="G27" s="110"/>
      <c r="H27" s="110"/>
      <c r="I27" s="110"/>
      <c r="J27" s="110"/>
      <c r="K27" s="110"/>
      <c r="L27" s="110"/>
      <c r="M27" s="110"/>
      <c r="N27" s="110"/>
      <c r="O27" s="110"/>
      <c r="P27" s="68"/>
      <c r="Q27" s="68" t="e">
        <f t="shared" si="2"/>
        <v>#N/A</v>
      </c>
      <c r="R27" s="68" t="e">
        <f t="shared" si="3"/>
        <v>#N/A</v>
      </c>
      <c r="S27" s="68" t="e">
        <f t="shared" si="4"/>
        <v>#N/A</v>
      </c>
      <c r="T27" s="68" t="e">
        <f t="shared" si="5"/>
        <v>#N/A</v>
      </c>
      <c r="U27" s="68" t="e">
        <f t="shared" si="6"/>
        <v>#N/A</v>
      </c>
      <c r="V27" s="68" t="e">
        <f t="shared" si="7"/>
        <v>#N/A</v>
      </c>
      <c r="W27" s="68" t="e">
        <f t="shared" si="8"/>
        <v>#N/A</v>
      </c>
      <c r="X27" s="68" t="e">
        <f t="shared" si="9"/>
        <v>#N/A</v>
      </c>
      <c r="Y27" s="68" t="e">
        <f t="shared" si="10"/>
        <v>#N/A</v>
      </c>
      <c r="Z27" s="68" t="e">
        <f t="shared" si="11"/>
        <v>#N/A</v>
      </c>
      <c r="AA27" s="68" t="e">
        <f t="shared" si="12"/>
        <v>#N/A</v>
      </c>
      <c r="AB27" s="68" t="e">
        <f t="shared" si="13"/>
        <v>#N/A</v>
      </c>
    </row>
    <row r="28" spans="1:28" x14ac:dyDescent="0.25">
      <c r="A28" s="142" t="s">
        <v>19</v>
      </c>
      <c r="B28" s="110"/>
      <c r="C28" s="110"/>
      <c r="D28" s="110"/>
      <c r="E28" s="110"/>
      <c r="F28" s="110"/>
      <c r="G28" s="110"/>
      <c r="H28" s="110"/>
      <c r="I28" s="110"/>
      <c r="J28" s="110"/>
      <c r="K28" s="110"/>
      <c r="L28" s="110"/>
      <c r="M28" s="110"/>
      <c r="N28" s="110"/>
      <c r="O28" s="110"/>
      <c r="P28" s="68"/>
      <c r="Q28" s="68" t="e">
        <f t="shared" si="2"/>
        <v>#N/A</v>
      </c>
      <c r="R28" s="68" t="e">
        <f t="shared" si="3"/>
        <v>#N/A</v>
      </c>
      <c r="S28" s="68" t="e">
        <f t="shared" si="4"/>
        <v>#N/A</v>
      </c>
      <c r="T28" s="68" t="e">
        <f t="shared" si="5"/>
        <v>#N/A</v>
      </c>
      <c r="U28" s="68" t="e">
        <f t="shared" si="6"/>
        <v>#N/A</v>
      </c>
      <c r="V28" s="68" t="e">
        <f t="shared" si="7"/>
        <v>#N/A</v>
      </c>
      <c r="W28" s="68" t="e">
        <f t="shared" si="8"/>
        <v>#N/A</v>
      </c>
      <c r="X28" s="68" t="e">
        <f t="shared" si="9"/>
        <v>#N/A</v>
      </c>
      <c r="Y28" s="68" t="e">
        <f t="shared" si="10"/>
        <v>#N/A</v>
      </c>
      <c r="Z28" s="68" t="e">
        <f t="shared" si="11"/>
        <v>#N/A</v>
      </c>
      <c r="AA28" s="68" t="e">
        <f t="shared" si="12"/>
        <v>#N/A</v>
      </c>
      <c r="AB28" s="68" t="e">
        <f t="shared" si="13"/>
        <v>#N/A</v>
      </c>
    </row>
    <row r="29" spans="1:28" x14ac:dyDescent="0.25">
      <c r="A29" s="12" t="s">
        <v>16</v>
      </c>
      <c r="B29" s="64">
        <f>B30+B31</f>
        <v>0</v>
      </c>
      <c r="C29" s="64"/>
      <c r="D29" s="64">
        <f>D30+D31</f>
        <v>0</v>
      </c>
      <c r="E29" s="64">
        <f t="shared" ref="E29:O29" si="15">E30+E31</f>
        <v>0</v>
      </c>
      <c r="F29" s="64">
        <f t="shared" si="15"/>
        <v>0</v>
      </c>
      <c r="G29" s="64">
        <f t="shared" si="15"/>
        <v>0</v>
      </c>
      <c r="H29" s="64">
        <f t="shared" si="15"/>
        <v>0</v>
      </c>
      <c r="I29" s="64">
        <f t="shared" si="15"/>
        <v>0</v>
      </c>
      <c r="J29" s="64">
        <f t="shared" si="15"/>
        <v>0</v>
      </c>
      <c r="K29" s="64">
        <f t="shared" si="15"/>
        <v>0</v>
      </c>
      <c r="L29" s="64">
        <f t="shared" si="15"/>
        <v>0</v>
      </c>
      <c r="M29" s="64">
        <f t="shared" si="15"/>
        <v>0</v>
      </c>
      <c r="N29" s="64">
        <f t="shared" si="15"/>
        <v>0</v>
      </c>
      <c r="O29" s="64">
        <f t="shared" si="15"/>
        <v>0</v>
      </c>
      <c r="P29" s="65"/>
      <c r="Q29" s="64" t="e">
        <f t="shared" si="2"/>
        <v>#N/A</v>
      </c>
      <c r="R29" s="64" t="e">
        <f t="shared" si="3"/>
        <v>#N/A</v>
      </c>
      <c r="S29" s="64" t="e">
        <f t="shared" si="4"/>
        <v>#N/A</v>
      </c>
      <c r="T29" s="64" t="e">
        <f t="shared" si="5"/>
        <v>#N/A</v>
      </c>
      <c r="U29" s="64" t="e">
        <f t="shared" si="6"/>
        <v>#N/A</v>
      </c>
      <c r="V29" s="64" t="e">
        <f t="shared" si="7"/>
        <v>#N/A</v>
      </c>
      <c r="W29" s="64" t="e">
        <f t="shared" si="8"/>
        <v>#N/A</v>
      </c>
      <c r="X29" s="64" t="e">
        <f t="shared" si="9"/>
        <v>#N/A</v>
      </c>
      <c r="Y29" s="64" t="e">
        <f t="shared" si="10"/>
        <v>#N/A</v>
      </c>
      <c r="Z29" s="64" t="e">
        <f t="shared" si="11"/>
        <v>#N/A</v>
      </c>
      <c r="AA29" s="64" t="e">
        <f t="shared" si="12"/>
        <v>#N/A</v>
      </c>
      <c r="AB29" s="64" t="e">
        <f t="shared" si="13"/>
        <v>#N/A</v>
      </c>
    </row>
    <row r="30" spans="1:28" x14ac:dyDescent="0.25">
      <c r="A30" s="142" t="s">
        <v>20</v>
      </c>
      <c r="B30" s="110"/>
      <c r="C30" s="110"/>
      <c r="D30" s="110"/>
      <c r="E30" s="110"/>
      <c r="F30" s="110"/>
      <c r="G30" s="110"/>
      <c r="H30" s="110"/>
      <c r="I30" s="110"/>
      <c r="J30" s="110"/>
      <c r="K30" s="110"/>
      <c r="L30" s="110"/>
      <c r="M30" s="110"/>
      <c r="N30" s="110"/>
      <c r="O30" s="110"/>
      <c r="P30" s="68"/>
      <c r="Q30" s="68" t="e">
        <f t="shared" si="2"/>
        <v>#N/A</v>
      </c>
      <c r="R30" s="68" t="e">
        <f t="shared" si="3"/>
        <v>#N/A</v>
      </c>
      <c r="S30" s="68" t="e">
        <f t="shared" si="4"/>
        <v>#N/A</v>
      </c>
      <c r="T30" s="68" t="e">
        <f t="shared" si="5"/>
        <v>#N/A</v>
      </c>
      <c r="U30" s="68" t="e">
        <f t="shared" si="6"/>
        <v>#N/A</v>
      </c>
      <c r="V30" s="68" t="e">
        <f t="shared" si="7"/>
        <v>#N/A</v>
      </c>
      <c r="W30" s="68" t="e">
        <f t="shared" si="8"/>
        <v>#N/A</v>
      </c>
      <c r="X30" s="68" t="e">
        <f t="shared" si="9"/>
        <v>#N/A</v>
      </c>
      <c r="Y30" s="68" t="e">
        <f t="shared" si="10"/>
        <v>#N/A</v>
      </c>
      <c r="Z30" s="68" t="e">
        <f t="shared" si="11"/>
        <v>#N/A</v>
      </c>
      <c r="AA30" s="68" t="e">
        <f t="shared" si="12"/>
        <v>#N/A</v>
      </c>
      <c r="AB30" s="68" t="e">
        <f t="shared" si="13"/>
        <v>#N/A</v>
      </c>
    </row>
    <row r="31" spans="1:28" x14ac:dyDescent="0.25">
      <c r="A31" s="142" t="s">
        <v>19</v>
      </c>
      <c r="B31" s="110"/>
      <c r="C31" s="110"/>
      <c r="D31" s="110"/>
      <c r="E31" s="110"/>
      <c r="F31" s="110"/>
      <c r="G31" s="110"/>
      <c r="H31" s="110"/>
      <c r="I31" s="110"/>
      <c r="J31" s="110"/>
      <c r="K31" s="110"/>
      <c r="L31" s="110"/>
      <c r="M31" s="110"/>
      <c r="N31" s="110"/>
      <c r="O31" s="110"/>
      <c r="P31" s="68"/>
      <c r="Q31" s="68" t="e">
        <f t="shared" si="2"/>
        <v>#N/A</v>
      </c>
      <c r="R31" s="68" t="e">
        <f t="shared" si="3"/>
        <v>#N/A</v>
      </c>
      <c r="S31" s="68" t="e">
        <f t="shared" si="4"/>
        <v>#N/A</v>
      </c>
      <c r="T31" s="68" t="e">
        <f t="shared" si="5"/>
        <v>#N/A</v>
      </c>
      <c r="U31" s="68" t="e">
        <f t="shared" si="6"/>
        <v>#N/A</v>
      </c>
      <c r="V31" s="68" t="e">
        <f t="shared" si="7"/>
        <v>#N/A</v>
      </c>
      <c r="W31" s="68" t="e">
        <f t="shared" si="8"/>
        <v>#N/A</v>
      </c>
      <c r="X31" s="68" t="e">
        <f t="shared" si="9"/>
        <v>#N/A</v>
      </c>
      <c r="Y31" s="68" t="e">
        <f t="shared" si="10"/>
        <v>#N/A</v>
      </c>
      <c r="Z31" s="68" t="e">
        <f t="shared" si="11"/>
        <v>#N/A</v>
      </c>
      <c r="AA31" s="68" t="e">
        <f t="shared" si="12"/>
        <v>#N/A</v>
      </c>
      <c r="AB31" s="68" t="e">
        <f t="shared" si="13"/>
        <v>#N/A</v>
      </c>
    </row>
    <row r="32" spans="1:28" x14ac:dyDescent="0.25">
      <c r="A32" s="12" t="s">
        <v>17</v>
      </c>
      <c r="B32" s="108"/>
      <c r="C32" s="108"/>
      <c r="D32" s="108"/>
      <c r="E32" s="108"/>
      <c r="F32" s="108"/>
      <c r="G32" s="108"/>
      <c r="H32" s="108"/>
      <c r="I32" s="108"/>
      <c r="J32" s="108"/>
      <c r="K32" s="108"/>
      <c r="L32" s="108"/>
      <c r="M32" s="108"/>
      <c r="N32" s="108"/>
      <c r="O32" s="108"/>
      <c r="P32" s="65"/>
      <c r="Q32" s="64" t="e">
        <f t="shared" si="2"/>
        <v>#N/A</v>
      </c>
      <c r="R32" s="64" t="e">
        <f t="shared" si="3"/>
        <v>#N/A</v>
      </c>
      <c r="S32" s="64" t="e">
        <f t="shared" si="4"/>
        <v>#N/A</v>
      </c>
      <c r="T32" s="64" t="e">
        <f t="shared" si="5"/>
        <v>#N/A</v>
      </c>
      <c r="U32" s="64" t="e">
        <f t="shared" si="6"/>
        <v>#N/A</v>
      </c>
      <c r="V32" s="64" t="e">
        <f t="shared" si="7"/>
        <v>#N/A</v>
      </c>
      <c r="W32" s="64" t="e">
        <f t="shared" si="8"/>
        <v>#N/A</v>
      </c>
      <c r="X32" s="64" t="e">
        <f t="shared" si="9"/>
        <v>#N/A</v>
      </c>
      <c r="Y32" s="64" t="e">
        <f t="shared" si="10"/>
        <v>#N/A</v>
      </c>
      <c r="Z32" s="64" t="e">
        <f t="shared" si="11"/>
        <v>#N/A</v>
      </c>
      <c r="AA32" s="64" t="e">
        <f t="shared" si="12"/>
        <v>#N/A</v>
      </c>
      <c r="AB32" s="64" t="e">
        <f t="shared" si="13"/>
        <v>#N/A</v>
      </c>
    </row>
    <row r="33" spans="1:28" x14ac:dyDescent="0.25">
      <c r="A33" s="142" t="s">
        <v>116</v>
      </c>
      <c r="B33" s="110"/>
      <c r="C33" s="110"/>
      <c r="D33" s="110"/>
      <c r="E33" s="110"/>
      <c r="F33" s="110"/>
      <c r="G33" s="110"/>
      <c r="H33" s="110"/>
      <c r="I33" s="110"/>
      <c r="J33" s="110"/>
      <c r="K33" s="110"/>
      <c r="L33" s="110"/>
      <c r="M33" s="110"/>
      <c r="N33" s="110"/>
      <c r="O33" s="110"/>
      <c r="P33" s="68"/>
      <c r="Q33" s="68" t="e">
        <f t="shared" si="2"/>
        <v>#N/A</v>
      </c>
      <c r="R33" s="68" t="e">
        <f t="shared" si="3"/>
        <v>#N/A</v>
      </c>
      <c r="S33" s="68" t="e">
        <f t="shared" si="4"/>
        <v>#N/A</v>
      </c>
      <c r="T33" s="68" t="e">
        <f t="shared" si="5"/>
        <v>#N/A</v>
      </c>
      <c r="U33" s="68" t="e">
        <f t="shared" si="6"/>
        <v>#N/A</v>
      </c>
      <c r="V33" s="68" t="e">
        <f t="shared" si="7"/>
        <v>#N/A</v>
      </c>
      <c r="W33" s="68" t="e">
        <f t="shared" si="8"/>
        <v>#N/A</v>
      </c>
      <c r="X33" s="68" t="e">
        <f t="shared" si="9"/>
        <v>#N/A</v>
      </c>
      <c r="Y33" s="68" t="e">
        <f t="shared" si="10"/>
        <v>#N/A</v>
      </c>
      <c r="Z33" s="68" t="e">
        <f t="shared" si="11"/>
        <v>#N/A</v>
      </c>
      <c r="AA33" s="68" t="e">
        <f t="shared" si="12"/>
        <v>#N/A</v>
      </c>
      <c r="AB33" s="68" t="e">
        <f t="shared" si="13"/>
        <v>#N/A</v>
      </c>
    </row>
    <row r="34" spans="1:28" x14ac:dyDescent="0.25">
      <c r="A34" s="12" t="s">
        <v>25</v>
      </c>
      <c r="B34" s="108"/>
      <c r="C34" s="108"/>
      <c r="D34" s="108"/>
      <c r="E34" s="108"/>
      <c r="F34" s="108"/>
      <c r="G34" s="108"/>
      <c r="H34" s="108"/>
      <c r="I34" s="108"/>
      <c r="J34" s="108"/>
      <c r="K34" s="108"/>
      <c r="L34" s="108"/>
      <c r="M34" s="108"/>
      <c r="N34" s="108"/>
      <c r="O34" s="108"/>
      <c r="P34" s="65"/>
      <c r="Q34" s="64" t="e">
        <f t="shared" si="2"/>
        <v>#N/A</v>
      </c>
      <c r="R34" s="64" t="e">
        <f t="shared" si="3"/>
        <v>#N/A</v>
      </c>
      <c r="S34" s="64" t="e">
        <f t="shared" si="4"/>
        <v>#N/A</v>
      </c>
      <c r="T34" s="64" t="e">
        <f t="shared" si="5"/>
        <v>#N/A</v>
      </c>
      <c r="U34" s="64" t="e">
        <f t="shared" si="6"/>
        <v>#N/A</v>
      </c>
      <c r="V34" s="64" t="e">
        <f t="shared" si="7"/>
        <v>#N/A</v>
      </c>
      <c r="W34" s="64" t="e">
        <f t="shared" si="8"/>
        <v>#N/A</v>
      </c>
      <c r="X34" s="64" t="e">
        <f t="shared" si="9"/>
        <v>#N/A</v>
      </c>
      <c r="Y34" s="64" t="e">
        <f t="shared" si="10"/>
        <v>#N/A</v>
      </c>
      <c r="Z34" s="64" t="e">
        <f t="shared" si="11"/>
        <v>#N/A</v>
      </c>
      <c r="AA34" s="64" t="e">
        <f t="shared" si="12"/>
        <v>#N/A</v>
      </c>
      <c r="AB34" s="64" t="e">
        <f t="shared" si="13"/>
        <v>#N/A</v>
      </c>
    </row>
    <row r="35" spans="1:28" x14ac:dyDescent="0.25">
      <c r="A35" s="17"/>
      <c r="B35" s="18"/>
      <c r="C35" s="18"/>
      <c r="D35" s="18"/>
      <c r="E35" s="18"/>
      <c r="F35" s="18"/>
      <c r="G35" s="18"/>
      <c r="H35" s="18"/>
      <c r="I35" s="18"/>
      <c r="J35" s="18"/>
      <c r="K35" s="18"/>
      <c r="L35" s="18"/>
      <c r="M35" s="18"/>
      <c r="N35" s="18"/>
      <c r="O35" s="18"/>
    </row>
    <row r="36" spans="1:28" ht="36.75" customHeight="1" x14ac:dyDescent="0.25">
      <c r="A36" s="22" t="s">
        <v>26</v>
      </c>
      <c r="B36" s="52">
        <f>B18</f>
        <v>2017</v>
      </c>
      <c r="C36" s="52">
        <f>année-1</f>
        <v>2018</v>
      </c>
      <c r="D36" s="21" t="str">
        <f>D18</f>
        <v>janv 2019</v>
      </c>
      <c r="E36" s="21" t="str">
        <f>"janv-fév "&amp;année</f>
        <v>janv-fév 2019</v>
      </c>
      <c r="F36" s="21" t="str">
        <f>"janv-mars "&amp;année</f>
        <v>janv-mars 2019</v>
      </c>
      <c r="G36" s="21" t="str">
        <f>"janv-avril " &amp;année</f>
        <v>janv-avril 2019</v>
      </c>
      <c r="H36" s="21" t="str">
        <f>"janv-mai "&amp;année</f>
        <v>janv-mai 2019</v>
      </c>
      <c r="I36" s="21" t="str">
        <f>"janv-juin "&amp;année</f>
        <v>janv-juin 2019</v>
      </c>
      <c r="J36" s="21" t="str">
        <f>"janv-juil "&amp;année</f>
        <v>janv-juil 2019</v>
      </c>
      <c r="K36" s="21" t="str">
        <f>"janv-août "&amp;année</f>
        <v>janv-août 2019</v>
      </c>
      <c r="L36" s="21" t="str">
        <f>"janv-sept "&amp;année</f>
        <v>janv-sept 2019</v>
      </c>
      <c r="M36" s="21" t="str">
        <f>"janv-oct "&amp;année</f>
        <v>janv-oct 2019</v>
      </c>
      <c r="N36" s="21" t="str">
        <f>"janv-nov "&amp;année</f>
        <v>janv-nov 2019</v>
      </c>
      <c r="O36" s="21" t="str">
        <f>"janv-déc "&amp;année</f>
        <v>janv-déc 2019</v>
      </c>
      <c r="U36" s="37"/>
      <c r="V36" s="37"/>
      <c r="W36" s="37"/>
      <c r="X36" s="37"/>
      <c r="Y36" s="37"/>
      <c r="Z36" s="37"/>
    </row>
    <row r="37" spans="1:28" x14ac:dyDescent="0.25">
      <c r="A37" s="12" t="s">
        <v>23</v>
      </c>
      <c r="B37" s="111"/>
      <c r="C37" s="111"/>
      <c r="D37" s="111"/>
      <c r="E37" s="111"/>
      <c r="F37" s="111"/>
      <c r="G37" s="111"/>
      <c r="H37" s="111"/>
      <c r="I37" s="111"/>
      <c r="J37" s="111"/>
      <c r="K37" s="111"/>
      <c r="L37" s="111"/>
      <c r="M37" s="111"/>
      <c r="N37" s="111"/>
      <c r="O37" s="111"/>
      <c r="P37" s="39"/>
      <c r="Q37" s="39"/>
      <c r="R37" s="39"/>
      <c r="S37" s="39"/>
      <c r="T37" s="39"/>
      <c r="U37" s="39"/>
      <c r="V37" s="39"/>
      <c r="W37" s="39"/>
      <c r="X37" s="39"/>
      <c r="Y37" s="39"/>
      <c r="Z37" s="39"/>
    </row>
    <row r="38" spans="1:28" x14ac:dyDescent="0.25">
      <c r="A38" s="12" t="s">
        <v>15</v>
      </c>
      <c r="B38" s="111"/>
      <c r="C38" s="111"/>
      <c r="D38" s="111"/>
      <c r="E38" s="111"/>
      <c r="F38" s="111"/>
      <c r="G38" s="111"/>
      <c r="H38" s="111"/>
      <c r="I38" s="111"/>
      <c r="J38" s="111"/>
      <c r="K38" s="111"/>
      <c r="L38" s="111"/>
      <c r="M38" s="111"/>
      <c r="N38" s="111"/>
      <c r="O38" s="111"/>
      <c r="P38" s="39"/>
      <c r="Q38" s="39"/>
      <c r="R38" s="39"/>
      <c r="S38" s="39"/>
      <c r="T38" s="39"/>
      <c r="U38" s="39"/>
      <c r="V38" s="39"/>
      <c r="W38" s="39"/>
      <c r="X38" s="39"/>
      <c r="Y38" s="39"/>
      <c r="Z38" s="39"/>
    </row>
    <row r="39" spans="1:28" x14ac:dyDescent="0.25">
      <c r="A39" s="26" t="s">
        <v>18</v>
      </c>
      <c r="B39" s="112"/>
      <c r="C39" s="112"/>
      <c r="D39" s="112"/>
      <c r="E39" s="112"/>
      <c r="F39" s="112"/>
      <c r="G39" s="112"/>
      <c r="H39" s="112"/>
      <c r="I39" s="112"/>
      <c r="J39" s="112"/>
      <c r="K39" s="112"/>
      <c r="L39" s="112"/>
      <c r="M39" s="112"/>
      <c r="N39" s="112"/>
      <c r="O39" s="112"/>
      <c r="P39" s="29"/>
      <c r="Q39" s="29"/>
      <c r="R39" s="29"/>
      <c r="S39" s="29"/>
      <c r="T39" s="29"/>
      <c r="U39" s="29"/>
      <c r="V39" s="29"/>
      <c r="W39" s="29"/>
      <c r="X39" s="29"/>
      <c r="Y39" s="29"/>
      <c r="Z39" s="29"/>
    </row>
    <row r="40" spans="1:28" x14ac:dyDescent="0.25">
      <c r="A40" s="26" t="s">
        <v>19</v>
      </c>
      <c r="B40" s="112"/>
      <c r="C40" s="112"/>
      <c r="D40" s="112"/>
      <c r="E40" s="112"/>
      <c r="F40" s="112"/>
      <c r="G40" s="112"/>
      <c r="H40" s="112"/>
      <c r="I40" s="112"/>
      <c r="J40" s="112"/>
      <c r="K40" s="112"/>
      <c r="L40" s="112"/>
      <c r="M40" s="112"/>
      <c r="N40" s="112"/>
      <c r="O40" s="112"/>
      <c r="P40" s="29"/>
      <c r="Q40" s="29"/>
      <c r="R40" s="29"/>
      <c r="S40" s="29"/>
      <c r="T40" s="29"/>
      <c r="U40" s="29"/>
      <c r="V40" s="29"/>
      <c r="W40" s="29"/>
      <c r="X40" s="29"/>
      <c r="Y40" s="29"/>
      <c r="Z40" s="29"/>
    </row>
    <row r="41" spans="1:28" x14ac:dyDescent="0.25">
      <c r="A41" s="12" t="s">
        <v>16</v>
      </c>
      <c r="B41" s="111"/>
      <c r="C41" s="111"/>
      <c r="D41" s="111"/>
      <c r="E41" s="111"/>
      <c r="F41" s="111"/>
      <c r="G41" s="111"/>
      <c r="H41" s="111"/>
      <c r="I41" s="111"/>
      <c r="J41" s="111"/>
      <c r="K41" s="111"/>
      <c r="L41" s="111"/>
      <c r="M41" s="111"/>
      <c r="N41" s="111"/>
      <c r="O41" s="111"/>
      <c r="P41" s="39"/>
      <c r="Q41" s="39"/>
      <c r="R41" s="39"/>
      <c r="S41" s="39"/>
      <c r="T41" s="39"/>
      <c r="U41" s="39"/>
      <c r="V41" s="39"/>
      <c r="W41" s="39"/>
      <c r="X41" s="39"/>
      <c r="Y41" s="39"/>
      <c r="Z41" s="39"/>
    </row>
    <row r="42" spans="1:28" x14ac:dyDescent="0.25">
      <c r="A42" s="26" t="s">
        <v>20</v>
      </c>
      <c r="B42" s="112"/>
      <c r="C42" s="112"/>
      <c r="D42" s="112"/>
      <c r="E42" s="112"/>
      <c r="F42" s="112"/>
      <c r="G42" s="112"/>
      <c r="H42" s="112"/>
      <c r="I42" s="112"/>
      <c r="J42" s="112"/>
      <c r="K42" s="112"/>
      <c r="L42" s="112"/>
      <c r="M42" s="112"/>
      <c r="N42" s="112"/>
      <c r="O42" s="112"/>
      <c r="P42" s="29"/>
      <c r="Q42" s="29"/>
      <c r="R42" s="29"/>
      <c r="S42" s="29"/>
      <c r="T42" s="29"/>
      <c r="U42" s="29"/>
      <c r="V42" s="29"/>
      <c r="W42" s="29"/>
      <c r="X42" s="29"/>
      <c r="Y42" s="29"/>
      <c r="Z42" s="29"/>
    </row>
    <row r="43" spans="1:28" x14ac:dyDescent="0.25">
      <c r="A43" s="26" t="s">
        <v>19</v>
      </c>
      <c r="B43" s="112"/>
      <c r="C43" s="112"/>
      <c r="D43" s="112"/>
      <c r="E43" s="112"/>
      <c r="F43" s="112"/>
      <c r="G43" s="112"/>
      <c r="H43" s="112"/>
      <c r="I43" s="112"/>
      <c r="J43" s="112"/>
      <c r="K43" s="112"/>
      <c r="L43" s="112"/>
      <c r="M43" s="112"/>
      <c r="N43" s="112"/>
      <c r="O43" s="112"/>
      <c r="P43" s="29"/>
      <c r="Q43" s="29"/>
      <c r="R43" s="29"/>
      <c r="S43" s="29"/>
      <c r="T43" s="29"/>
      <c r="U43" s="29"/>
      <c r="V43" s="29"/>
      <c r="W43" s="29"/>
      <c r="X43" s="29"/>
      <c r="Y43" s="29"/>
      <c r="Z43" s="29"/>
    </row>
    <row r="44" spans="1:28" x14ac:dyDescent="0.25">
      <c r="A44" s="12" t="s">
        <v>17</v>
      </c>
      <c r="B44" s="111"/>
      <c r="C44" s="111"/>
      <c r="D44" s="111"/>
      <c r="E44" s="111"/>
      <c r="F44" s="111"/>
      <c r="G44" s="111"/>
      <c r="H44" s="111"/>
      <c r="I44" s="111"/>
      <c r="J44" s="111"/>
      <c r="K44" s="111"/>
      <c r="L44" s="111"/>
      <c r="M44" s="111"/>
      <c r="N44" s="111"/>
      <c r="O44" s="111"/>
      <c r="P44" s="39"/>
      <c r="Q44" s="39"/>
      <c r="R44" s="39"/>
      <c r="S44" s="39"/>
      <c r="T44" s="39"/>
      <c r="U44" s="39"/>
      <c r="V44" s="39"/>
      <c r="W44" s="39"/>
      <c r="X44" s="39"/>
      <c r="Y44" s="39"/>
      <c r="Z44" s="39"/>
    </row>
    <row r="45" spans="1:28" x14ac:dyDescent="0.25">
      <c r="A45" s="12" t="s">
        <v>25</v>
      </c>
      <c r="B45" s="111"/>
      <c r="C45" s="111"/>
      <c r="D45" s="111"/>
      <c r="E45" s="111"/>
      <c r="F45" s="111"/>
      <c r="G45" s="111"/>
      <c r="H45" s="111"/>
      <c r="I45" s="111"/>
      <c r="J45" s="111"/>
      <c r="K45" s="111"/>
      <c r="L45" s="111"/>
      <c r="M45" s="111"/>
      <c r="N45" s="111"/>
      <c r="O45" s="111"/>
      <c r="P45" s="39"/>
      <c r="Q45" s="39"/>
      <c r="R45" s="39"/>
      <c r="S45" s="39"/>
      <c r="T45" s="39"/>
      <c r="U45" s="39"/>
      <c r="V45" s="39"/>
      <c r="W45" s="39"/>
      <c r="X45" s="39"/>
      <c r="Y45" s="39"/>
      <c r="Z45" s="39"/>
    </row>
    <row r="46" spans="1:28" x14ac:dyDescent="0.25">
      <c r="A46" s="17"/>
      <c r="B46" s="18"/>
      <c r="C46" s="18"/>
      <c r="D46" s="18"/>
      <c r="E46" s="18"/>
      <c r="F46" s="18"/>
      <c r="G46" s="18"/>
      <c r="H46" s="18"/>
      <c r="I46" s="18"/>
      <c r="J46" s="18"/>
      <c r="K46" s="18"/>
      <c r="L46" s="18"/>
      <c r="M46" s="18"/>
      <c r="N46" s="18"/>
      <c r="O46" s="18"/>
    </row>
    <row r="47" spans="1:28" ht="36.75" customHeight="1" x14ac:dyDescent="0.25">
      <c r="A47" s="31" t="s">
        <v>32</v>
      </c>
      <c r="B47" s="53">
        <f>B36</f>
        <v>2017</v>
      </c>
      <c r="C47" s="53">
        <f>C36</f>
        <v>2018</v>
      </c>
      <c r="D47" s="32" t="str">
        <f>D36</f>
        <v>janv 2019</v>
      </c>
      <c r="E47" s="32" t="str">
        <f t="shared" ref="E47:N47" si="16">E36</f>
        <v>janv-fév 2019</v>
      </c>
      <c r="F47" s="32" t="str">
        <f t="shared" si="16"/>
        <v>janv-mars 2019</v>
      </c>
      <c r="G47" s="32" t="str">
        <f t="shared" si="16"/>
        <v>janv-avril 2019</v>
      </c>
      <c r="H47" s="32" t="str">
        <f t="shared" si="16"/>
        <v>janv-mai 2019</v>
      </c>
      <c r="I47" s="32" t="str">
        <f t="shared" si="16"/>
        <v>janv-juin 2019</v>
      </c>
      <c r="J47" s="32" t="str">
        <f t="shared" si="16"/>
        <v>janv-juil 2019</v>
      </c>
      <c r="K47" s="32" t="str">
        <f t="shared" si="16"/>
        <v>janv-août 2019</v>
      </c>
      <c r="L47" s="32" t="str">
        <f t="shared" si="16"/>
        <v>janv-sept 2019</v>
      </c>
      <c r="M47" s="32" t="str">
        <f t="shared" si="16"/>
        <v>janv-oct 2019</v>
      </c>
      <c r="N47" s="32" t="str">
        <f t="shared" si="16"/>
        <v>janv-nov 2019</v>
      </c>
      <c r="O47" s="32" t="str">
        <f>"janv-déc "&amp;année</f>
        <v>janv-déc 2019</v>
      </c>
      <c r="P47" s="37"/>
      <c r="Q47" s="37"/>
      <c r="R47" s="37"/>
      <c r="S47" s="37"/>
      <c r="T47" s="37"/>
      <c r="U47" s="37"/>
      <c r="V47" s="37"/>
      <c r="W47" s="37"/>
      <c r="X47" s="37"/>
      <c r="Y47" s="37"/>
      <c r="Z47" s="37"/>
    </row>
    <row r="48" spans="1:28" x14ac:dyDescent="0.25">
      <c r="A48" s="12" t="s">
        <v>36</v>
      </c>
      <c r="B48" s="113"/>
      <c r="C48" s="113"/>
      <c r="D48" s="113"/>
      <c r="E48" s="113"/>
      <c r="F48" s="113"/>
      <c r="G48" s="113"/>
      <c r="H48" s="113"/>
      <c r="I48" s="113"/>
      <c r="J48" s="113"/>
      <c r="K48" s="113"/>
      <c r="L48" s="113"/>
      <c r="M48" s="113"/>
      <c r="N48" s="113"/>
      <c r="O48" s="113"/>
      <c r="P48" s="39"/>
      <c r="Q48" s="39"/>
      <c r="R48" s="39"/>
      <c r="S48" s="39"/>
      <c r="T48" s="39"/>
      <c r="U48" s="39"/>
      <c r="V48" s="39"/>
      <c r="W48" s="39"/>
      <c r="X48" s="39"/>
      <c r="Y48" s="39"/>
      <c r="Z48" s="39"/>
    </row>
    <row r="49" spans="1:28" x14ac:dyDescent="0.25">
      <c r="A49" s="12" t="s">
        <v>37</v>
      </c>
      <c r="B49" s="113"/>
      <c r="C49" s="113"/>
      <c r="D49" s="113"/>
      <c r="E49" s="113"/>
      <c r="F49" s="113"/>
      <c r="G49" s="113"/>
      <c r="H49" s="113"/>
      <c r="I49" s="113"/>
      <c r="J49" s="113"/>
      <c r="K49" s="113"/>
      <c r="L49" s="113"/>
      <c r="M49" s="113"/>
      <c r="N49" s="113"/>
      <c r="O49" s="113"/>
      <c r="P49" s="39"/>
      <c r="Q49" s="39"/>
      <c r="R49" s="39"/>
      <c r="S49" s="39"/>
      <c r="T49" s="39"/>
      <c r="U49" s="39"/>
      <c r="V49" s="39"/>
      <c r="W49" s="39"/>
      <c r="X49" s="39"/>
      <c r="Y49" s="39"/>
      <c r="Z49" s="39"/>
    </row>
    <row r="50" spans="1:28" x14ac:dyDescent="0.25">
      <c r="A50" s="12" t="s">
        <v>38</v>
      </c>
      <c r="B50" s="113"/>
      <c r="C50" s="113"/>
      <c r="D50" s="113"/>
      <c r="E50" s="113"/>
      <c r="F50" s="113"/>
      <c r="G50" s="113"/>
      <c r="H50" s="113"/>
      <c r="I50" s="113"/>
      <c r="J50" s="113"/>
      <c r="K50" s="113"/>
      <c r="L50" s="113"/>
      <c r="M50" s="113"/>
      <c r="N50" s="113"/>
      <c r="O50" s="113"/>
      <c r="P50" s="39"/>
      <c r="Q50" s="39"/>
      <c r="R50" s="39"/>
      <c r="S50" s="39"/>
      <c r="T50" s="39"/>
      <c r="U50" s="39"/>
      <c r="V50" s="39"/>
      <c r="W50" s="39"/>
      <c r="X50" s="39"/>
      <c r="Y50" s="39"/>
      <c r="Z50" s="39"/>
    </row>
    <row r="51" spans="1:28" x14ac:dyDescent="0.25">
      <c r="A51" s="12" t="s">
        <v>39</v>
      </c>
      <c r="B51" s="113"/>
      <c r="C51" s="113"/>
      <c r="D51" s="113"/>
      <c r="E51" s="113"/>
      <c r="F51" s="113"/>
      <c r="G51" s="113"/>
      <c r="H51" s="113"/>
      <c r="I51" s="113"/>
      <c r="J51" s="113"/>
      <c r="K51" s="113"/>
      <c r="L51" s="113"/>
      <c r="M51" s="113"/>
      <c r="N51" s="113"/>
      <c r="O51" s="113"/>
      <c r="P51" s="39"/>
      <c r="Q51" s="39"/>
      <c r="R51" s="39"/>
      <c r="S51" s="39"/>
      <c r="T51" s="39"/>
      <c r="U51" s="39"/>
      <c r="V51" s="39"/>
      <c r="W51" s="39"/>
      <c r="X51" s="39"/>
      <c r="Y51" s="39"/>
      <c r="Z51" s="39"/>
    </row>
    <row r="52" spans="1:28" x14ac:dyDescent="0.25">
      <c r="A52" s="17"/>
      <c r="B52" s="18"/>
      <c r="C52" s="18"/>
      <c r="D52" s="18"/>
      <c r="E52" s="18"/>
      <c r="F52" s="18"/>
      <c r="G52" s="18"/>
      <c r="H52" s="18"/>
      <c r="I52" s="18"/>
      <c r="J52" s="18"/>
      <c r="K52" s="18"/>
      <c r="L52" s="18"/>
      <c r="M52" s="18"/>
      <c r="N52" s="18"/>
      <c r="O52" s="18"/>
    </row>
    <row r="53" spans="1:28" ht="36.75" customHeight="1" x14ac:dyDescent="0.25">
      <c r="A53" s="33" t="s">
        <v>31</v>
      </c>
      <c r="B53" s="54">
        <f>B47</f>
        <v>2017</v>
      </c>
      <c r="C53" s="54">
        <f t="shared" ref="C53" si="17">C47</f>
        <v>2018</v>
      </c>
      <c r="D53" s="34" t="str">
        <f>"janv-mars "&amp;année</f>
        <v>janv-mars 2019</v>
      </c>
      <c r="E53" s="34" t="str">
        <f>"janv-juin "&amp;année</f>
        <v>janv-juin 2019</v>
      </c>
      <c r="F53" s="34" t="str">
        <f>"janv-sept " &amp;année</f>
        <v>janv-sept 2019</v>
      </c>
      <c r="G53" s="54" t="str">
        <f>"janv-déc " &amp;année</f>
        <v>janv-déc 2019</v>
      </c>
      <c r="H53" s="40"/>
      <c r="I53" s="40"/>
      <c r="J53" s="38"/>
      <c r="K53" s="40"/>
      <c r="L53" s="40"/>
      <c r="M53" s="38"/>
      <c r="N53" s="40"/>
      <c r="O53" s="37"/>
      <c r="P53" s="37"/>
      <c r="Q53" s="37"/>
      <c r="R53" s="37"/>
      <c r="S53" s="37"/>
      <c r="T53" s="37"/>
      <c r="U53" s="37"/>
      <c r="V53" s="37"/>
      <c r="W53" s="37"/>
      <c r="X53" s="37"/>
      <c r="Y53" s="37"/>
      <c r="Z53" s="37"/>
    </row>
    <row r="54" spans="1:28" ht="38.25" customHeight="1" x14ac:dyDescent="0.25">
      <c r="A54" s="12" t="s">
        <v>30</v>
      </c>
      <c r="B54" s="111"/>
      <c r="C54" s="111"/>
      <c r="D54" s="111"/>
      <c r="E54" s="111"/>
      <c r="F54" s="111"/>
      <c r="G54" s="111"/>
      <c r="H54" s="39"/>
      <c r="I54" s="39"/>
      <c r="J54" s="39"/>
      <c r="K54" s="39"/>
      <c r="L54" s="39"/>
      <c r="M54" s="39"/>
      <c r="N54" s="39"/>
      <c r="O54" s="39"/>
      <c r="P54" s="39"/>
      <c r="Q54" s="39"/>
      <c r="R54" s="39"/>
      <c r="S54" s="39"/>
      <c r="T54" s="39"/>
      <c r="U54" s="39"/>
      <c r="V54" s="39"/>
      <c r="W54" s="39"/>
      <c r="X54" s="39"/>
      <c r="Y54" s="39"/>
      <c r="Z54" s="39"/>
    </row>
    <row r="55" spans="1:28" ht="38.25" customHeight="1" x14ac:dyDescent="0.25">
      <c r="A55" s="12" t="s">
        <v>115</v>
      </c>
      <c r="B55" s="111"/>
      <c r="C55" s="111"/>
      <c r="D55" s="166"/>
      <c r="E55" s="166"/>
      <c r="F55" s="166"/>
      <c r="G55" s="111"/>
      <c r="H55" s="39"/>
      <c r="I55" s="39"/>
      <c r="J55" s="39"/>
      <c r="K55" s="39"/>
      <c r="L55" s="39"/>
      <c r="M55" s="39"/>
      <c r="N55" s="39"/>
      <c r="O55" s="39"/>
      <c r="P55" s="39"/>
      <c r="Q55" s="39"/>
      <c r="R55" s="39"/>
      <c r="S55" s="39"/>
      <c r="T55" s="39"/>
      <c r="U55" s="39"/>
      <c r="V55" s="39"/>
      <c r="W55" s="39"/>
      <c r="X55" s="39"/>
      <c r="Y55" s="39"/>
      <c r="Z55" s="39"/>
      <c r="AA55" s="164"/>
      <c r="AB55" s="164"/>
    </row>
    <row r="57" spans="1:28" s="6" customFormat="1" x14ac:dyDescent="0.25">
      <c r="A57" s="182" t="s">
        <v>112</v>
      </c>
      <c r="B57" s="182"/>
      <c r="C57" s="182"/>
      <c r="D57" s="182"/>
      <c r="E57" s="206"/>
      <c r="F57" s="206"/>
      <c r="G57" s="206"/>
      <c r="H57" s="206"/>
      <c r="I57" s="206"/>
      <c r="J57" s="206"/>
      <c r="K57" s="206"/>
      <c r="L57" s="206"/>
      <c r="M57" s="206"/>
      <c r="N57" s="206"/>
      <c r="O57" s="206"/>
      <c r="Q57" s="46"/>
      <c r="R57" s="46"/>
      <c r="S57" s="46"/>
      <c r="T57" s="46"/>
      <c r="U57" s="46"/>
      <c r="V57" s="46"/>
      <c r="W57" s="46"/>
      <c r="X57" s="46"/>
      <c r="Y57" s="46"/>
      <c r="Z57" s="46"/>
      <c r="AA57" s="46"/>
      <c r="AB57" s="46"/>
    </row>
    <row r="58" spans="1:28" x14ac:dyDescent="0.25">
      <c r="A58" s="182"/>
      <c r="B58" s="182"/>
      <c r="C58" s="182"/>
      <c r="D58" s="182"/>
      <c r="E58" s="206"/>
      <c r="F58" s="206"/>
      <c r="G58" s="206"/>
      <c r="H58" s="206"/>
      <c r="I58" s="206"/>
      <c r="J58" s="206"/>
      <c r="K58" s="206"/>
      <c r="L58" s="206"/>
      <c r="M58" s="206"/>
      <c r="N58" s="206"/>
      <c r="O58" s="206"/>
    </row>
    <row r="59" spans="1:28" x14ac:dyDescent="0.25">
      <c r="A59" s="182"/>
      <c r="B59" s="182"/>
      <c r="C59" s="182"/>
      <c r="D59" s="182"/>
      <c r="E59" s="206"/>
      <c r="F59" s="206"/>
      <c r="G59" s="206"/>
      <c r="H59" s="206"/>
      <c r="I59" s="206"/>
      <c r="J59" s="206"/>
      <c r="K59" s="206"/>
      <c r="L59" s="206"/>
      <c r="M59" s="206"/>
      <c r="N59" s="206"/>
      <c r="O59" s="206"/>
    </row>
    <row r="60" spans="1:28" x14ac:dyDescent="0.25">
      <c r="A60" s="182"/>
      <c r="B60" s="182"/>
      <c r="C60" s="182"/>
      <c r="D60" s="182"/>
      <c r="E60" s="206"/>
      <c r="F60" s="206"/>
      <c r="G60" s="206"/>
      <c r="H60" s="206"/>
      <c r="I60" s="206"/>
      <c r="J60" s="206"/>
      <c r="K60" s="206"/>
      <c r="L60" s="206"/>
      <c r="M60" s="206"/>
      <c r="N60" s="206"/>
      <c r="O60" s="206"/>
      <c r="P60" s="62"/>
      <c r="Q60" s="63"/>
      <c r="R60" s="63"/>
      <c r="S60" s="63"/>
      <c r="T60" s="63"/>
      <c r="U60" s="63"/>
      <c r="V60" s="63"/>
      <c r="W60" s="63"/>
      <c r="X60" s="63"/>
      <c r="Y60" s="63"/>
      <c r="Z60" s="63"/>
    </row>
    <row r="61" spans="1:28" x14ac:dyDescent="0.25">
      <c r="A61" s="182"/>
      <c r="B61" s="182"/>
      <c r="C61" s="182"/>
      <c r="D61" s="182"/>
      <c r="E61" s="206"/>
      <c r="F61" s="206"/>
      <c r="G61" s="206"/>
      <c r="H61" s="206"/>
      <c r="I61" s="206"/>
      <c r="J61" s="206"/>
      <c r="K61" s="206"/>
      <c r="L61" s="206"/>
      <c r="M61" s="206"/>
      <c r="N61" s="206"/>
      <c r="O61" s="206"/>
    </row>
    <row r="62" spans="1:28" x14ac:dyDescent="0.25">
      <c r="A62" s="62"/>
      <c r="B62" s="62"/>
      <c r="C62" s="62"/>
      <c r="D62" s="62"/>
      <c r="E62" s="62"/>
      <c r="F62" s="62"/>
      <c r="G62" s="62"/>
      <c r="H62" s="62"/>
      <c r="I62" s="62"/>
      <c r="J62" s="62"/>
      <c r="K62" s="62"/>
      <c r="L62" s="62"/>
      <c r="M62" s="62"/>
      <c r="N62" s="62"/>
      <c r="O62" s="62"/>
    </row>
    <row r="63" spans="1:28" x14ac:dyDescent="0.25">
      <c r="A63" s="194" t="s">
        <v>121</v>
      </c>
      <c r="B63" s="194"/>
      <c r="C63" s="194"/>
      <c r="D63" s="194"/>
      <c r="E63" s="194"/>
      <c r="F63" s="194"/>
      <c r="G63" s="194"/>
      <c r="H63" s="194"/>
      <c r="I63" s="194"/>
      <c r="J63" s="194"/>
      <c r="K63" s="194"/>
      <c r="L63" s="194"/>
      <c r="M63" s="194"/>
      <c r="N63" s="194"/>
      <c r="O63" s="194"/>
    </row>
    <row r="64" spans="1:28" x14ac:dyDescent="0.25">
      <c r="A64" s="213"/>
      <c r="B64" s="213"/>
      <c r="C64" s="213"/>
      <c r="D64" s="213"/>
      <c r="E64" s="213"/>
      <c r="F64" s="213"/>
      <c r="G64" s="213"/>
      <c r="H64" s="213"/>
      <c r="I64" s="213"/>
      <c r="J64" s="213"/>
      <c r="K64" s="213"/>
      <c r="L64" s="213"/>
      <c r="M64" s="213"/>
      <c r="N64" s="213"/>
      <c r="O64" s="213"/>
    </row>
    <row r="65" spans="1:15" x14ac:dyDescent="0.25">
      <c r="A65" s="213"/>
      <c r="B65" s="213"/>
      <c r="C65" s="213"/>
      <c r="D65" s="213"/>
      <c r="E65" s="213"/>
      <c r="F65" s="213"/>
      <c r="G65" s="213"/>
      <c r="H65" s="213"/>
      <c r="I65" s="213"/>
      <c r="J65" s="213"/>
      <c r="K65" s="213"/>
      <c r="L65" s="213"/>
      <c r="M65" s="213"/>
      <c r="N65" s="213"/>
      <c r="O65" s="213"/>
    </row>
    <row r="66" spans="1:15" x14ac:dyDescent="0.25">
      <c r="A66" s="213"/>
      <c r="B66" s="213"/>
      <c r="C66" s="213"/>
      <c r="D66" s="213"/>
      <c r="E66" s="213"/>
      <c r="F66" s="213"/>
      <c r="G66" s="213"/>
      <c r="H66" s="213"/>
      <c r="I66" s="213"/>
      <c r="J66" s="213"/>
      <c r="K66" s="213"/>
      <c r="L66" s="213"/>
      <c r="M66" s="213"/>
      <c r="N66" s="213"/>
      <c r="O66" s="213"/>
    </row>
    <row r="67" spans="1:15" x14ac:dyDescent="0.25">
      <c r="A67" s="213"/>
      <c r="B67" s="213"/>
      <c r="C67" s="213"/>
      <c r="D67" s="213"/>
      <c r="E67" s="213"/>
      <c r="F67" s="213"/>
      <c r="G67" s="213"/>
      <c r="H67" s="213"/>
      <c r="I67" s="213"/>
      <c r="J67" s="213"/>
      <c r="K67" s="213"/>
      <c r="L67" s="213"/>
      <c r="M67" s="213"/>
      <c r="N67" s="213"/>
      <c r="O67" s="213"/>
    </row>
    <row r="68" spans="1:15" x14ac:dyDescent="0.25">
      <c r="A68" s="213"/>
      <c r="B68" s="213"/>
      <c r="C68" s="213"/>
      <c r="D68" s="213"/>
      <c r="E68" s="213"/>
      <c r="F68" s="213"/>
      <c r="G68" s="213"/>
      <c r="H68" s="213"/>
      <c r="I68" s="213"/>
      <c r="J68" s="213"/>
      <c r="K68" s="213"/>
      <c r="L68" s="213"/>
      <c r="M68" s="213"/>
      <c r="N68" s="213"/>
      <c r="O68" s="213"/>
    </row>
    <row r="69" spans="1:15" x14ac:dyDescent="0.25">
      <c r="A69" s="213"/>
      <c r="B69" s="213"/>
      <c r="C69" s="213"/>
      <c r="D69" s="213"/>
      <c r="E69" s="213"/>
      <c r="F69" s="213"/>
      <c r="G69" s="213"/>
      <c r="H69" s="213"/>
      <c r="I69" s="213"/>
      <c r="J69" s="213"/>
      <c r="K69" s="213"/>
      <c r="L69" s="213"/>
      <c r="M69" s="213"/>
      <c r="N69" s="213"/>
      <c r="O69" s="213"/>
    </row>
    <row r="70" spans="1:15" x14ac:dyDescent="0.25">
      <c r="A70" s="213"/>
      <c r="B70" s="213"/>
      <c r="C70" s="213"/>
      <c r="D70" s="213"/>
      <c r="E70" s="213"/>
      <c r="F70" s="213"/>
      <c r="G70" s="213"/>
      <c r="H70" s="213"/>
      <c r="I70" s="213"/>
      <c r="J70" s="213"/>
      <c r="K70" s="213"/>
      <c r="L70" s="213"/>
      <c r="M70" s="213"/>
      <c r="N70" s="213"/>
      <c r="O70" s="213"/>
    </row>
    <row r="71" spans="1:15" x14ac:dyDescent="0.25">
      <c r="A71" s="213"/>
      <c r="B71" s="213"/>
      <c r="C71" s="213"/>
      <c r="D71" s="213"/>
      <c r="E71" s="213"/>
      <c r="F71" s="213"/>
      <c r="G71" s="213"/>
      <c r="H71" s="213"/>
      <c r="I71" s="213"/>
      <c r="J71" s="213"/>
      <c r="K71" s="213"/>
      <c r="L71" s="213"/>
      <c r="M71" s="213"/>
      <c r="N71" s="213"/>
      <c r="O71" s="213"/>
    </row>
    <row r="72" spans="1:15" x14ac:dyDescent="0.25">
      <c r="A72" s="213"/>
      <c r="B72" s="213"/>
      <c r="C72" s="213"/>
      <c r="D72" s="213"/>
      <c r="E72" s="213"/>
      <c r="F72" s="213"/>
      <c r="G72" s="213"/>
      <c r="H72" s="213"/>
      <c r="I72" s="213"/>
      <c r="J72" s="213"/>
      <c r="K72" s="213"/>
      <c r="L72" s="213"/>
      <c r="M72" s="213"/>
      <c r="N72" s="213"/>
      <c r="O72" s="213"/>
    </row>
    <row r="73" spans="1:15" x14ac:dyDescent="0.25">
      <c r="A73" s="213"/>
      <c r="B73" s="213"/>
      <c r="C73" s="213"/>
      <c r="D73" s="213"/>
      <c r="E73" s="213"/>
      <c r="F73" s="213"/>
      <c r="G73" s="213"/>
      <c r="H73" s="213"/>
      <c r="I73" s="213"/>
      <c r="J73" s="213"/>
      <c r="K73" s="213"/>
      <c r="L73" s="213"/>
      <c r="M73" s="213"/>
      <c r="N73" s="213"/>
      <c r="O73" s="213"/>
    </row>
    <row r="74" spans="1:15" x14ac:dyDescent="0.25">
      <c r="A74" s="213"/>
      <c r="B74" s="213"/>
      <c r="C74" s="213"/>
      <c r="D74" s="213"/>
      <c r="E74" s="213"/>
      <c r="F74" s="213"/>
      <c r="G74" s="213"/>
      <c r="H74" s="213"/>
      <c r="I74" s="213"/>
      <c r="J74" s="213"/>
      <c r="K74" s="213"/>
      <c r="L74" s="213"/>
      <c r="M74" s="213"/>
      <c r="N74" s="213"/>
      <c r="O74" s="213"/>
    </row>
    <row r="75" spans="1:15" x14ac:dyDescent="0.25">
      <c r="A75" s="213"/>
      <c r="B75" s="213"/>
      <c r="C75" s="213"/>
      <c r="D75" s="213"/>
      <c r="E75" s="213"/>
      <c r="F75" s="213"/>
      <c r="G75" s="213"/>
      <c r="H75" s="213"/>
      <c r="I75" s="213"/>
      <c r="J75" s="213"/>
      <c r="K75" s="213"/>
      <c r="L75" s="213"/>
      <c r="M75" s="213"/>
      <c r="N75" s="213"/>
      <c r="O75" s="213"/>
    </row>
    <row r="76" spans="1:15" x14ac:dyDescent="0.25">
      <c r="A76" s="213"/>
      <c r="B76" s="213"/>
      <c r="C76" s="213"/>
      <c r="D76" s="213"/>
      <c r="E76" s="213"/>
      <c r="F76" s="213"/>
      <c r="G76" s="213"/>
      <c r="H76" s="213"/>
      <c r="I76" s="213"/>
      <c r="J76" s="213"/>
      <c r="K76" s="213"/>
      <c r="L76" s="213"/>
      <c r="M76" s="213"/>
      <c r="N76" s="213"/>
      <c r="O76" s="213"/>
    </row>
    <row r="77" spans="1:15" x14ac:dyDescent="0.25">
      <c r="A77" s="213"/>
      <c r="B77" s="213"/>
      <c r="C77" s="213"/>
      <c r="D77" s="213"/>
      <c r="E77" s="213"/>
      <c r="F77" s="213"/>
      <c r="G77" s="213"/>
      <c r="H77" s="213"/>
      <c r="I77" s="213"/>
      <c r="J77" s="213"/>
      <c r="K77" s="213"/>
      <c r="L77" s="213"/>
      <c r="M77" s="213"/>
      <c r="N77" s="213"/>
      <c r="O77" s="213"/>
    </row>
    <row r="78" spans="1:15" x14ac:dyDescent="0.25">
      <c r="A78" s="213"/>
      <c r="B78" s="213"/>
      <c r="C78" s="213"/>
      <c r="D78" s="213"/>
      <c r="E78" s="213"/>
      <c r="F78" s="213"/>
      <c r="G78" s="213"/>
      <c r="H78" s="213"/>
      <c r="I78" s="213"/>
      <c r="J78" s="213"/>
      <c r="K78" s="213"/>
      <c r="L78" s="213"/>
      <c r="M78" s="213"/>
      <c r="N78" s="213"/>
      <c r="O78" s="213"/>
    </row>
  </sheetData>
  <mergeCells count="25">
    <mergeCell ref="N11:P11"/>
    <mergeCell ref="N12:P12"/>
    <mergeCell ref="N13:P13"/>
    <mergeCell ref="N14:P14"/>
    <mergeCell ref="N6:P6"/>
    <mergeCell ref="N7:P7"/>
    <mergeCell ref="N8:P8"/>
    <mergeCell ref="N9:P9"/>
    <mergeCell ref="N10:P10"/>
    <mergeCell ref="A64:O78"/>
    <mergeCell ref="N15:P15"/>
    <mergeCell ref="N16:P16"/>
    <mergeCell ref="A63:O63"/>
    <mergeCell ref="W1:Y1"/>
    <mergeCell ref="A57:D61"/>
    <mergeCell ref="E57:O61"/>
    <mergeCell ref="D17:O17"/>
    <mergeCell ref="Q17:AB17"/>
    <mergeCell ref="Z1:AB1"/>
    <mergeCell ref="A1:I1"/>
    <mergeCell ref="J1:N1"/>
    <mergeCell ref="O1:V1"/>
    <mergeCell ref="N3:AB3"/>
    <mergeCell ref="A3:L16"/>
    <mergeCell ref="N5:P5"/>
  </mergeCells>
  <conditionalFormatting sqref="Q19:AB34">
    <cfRule type="expression" dxfId="3" priority="3">
      <formula>ISNA(Q19)</formula>
    </cfRule>
  </conditionalFormatting>
  <conditionalFormatting sqref="D19:O20">
    <cfRule type="expression" dxfId="2" priority="2">
      <formula>ISNA(D19)</formula>
    </cfRule>
  </conditionalFormatting>
  <conditionalFormatting sqref="B19:O20 B26:O26 B29:O29">
    <cfRule type="cellIs" dxfId="1" priority="1" operator="equal">
      <formula>0</formula>
    </cfRule>
  </conditionalFormatting>
  <printOptions horizontalCentered="1"/>
  <pageMargins left="0.11811023622047245" right="0.11811023622047245" top="0.15748031496062992" bottom="0.15748031496062992" header="0.11811023622047245" footer="0.11811023622047245"/>
  <pageSetup paperSize="8"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E36"/>
  <sheetViews>
    <sheetView showGridLines="0" zoomScaleNormal="100" workbookViewId="0">
      <selection activeCell="C14" sqref="C14"/>
    </sheetView>
  </sheetViews>
  <sheetFormatPr baseColWidth="10" defaultRowHeight="15" x14ac:dyDescent="0.25"/>
  <cols>
    <col min="1" max="1" width="34.7109375" style="4" customWidth="1"/>
    <col min="2" max="2" width="11.42578125" style="4"/>
    <col min="3" max="3" width="11.42578125" style="4" customWidth="1"/>
    <col min="4" max="9" width="11.42578125" style="4"/>
    <col min="10" max="10" width="12" style="4" customWidth="1"/>
    <col min="11" max="16384" width="11.42578125" style="4"/>
  </cols>
  <sheetData>
    <row r="1" spans="1:31" ht="43.5" customHeight="1" x14ac:dyDescent="0.25">
      <c r="A1" s="190" t="s">
        <v>22</v>
      </c>
      <c r="B1" s="190"/>
      <c r="C1" s="190"/>
      <c r="D1" s="190"/>
      <c r="E1" s="190"/>
      <c r="F1" s="190"/>
      <c r="G1" s="190"/>
      <c r="H1" s="190"/>
      <c r="I1" s="190"/>
      <c r="J1" s="183" t="str">
        <f>'Page de garde'!A1</f>
        <v>Tableau de bord de suivi mensuel</v>
      </c>
      <c r="K1" s="183"/>
      <c r="L1" s="183"/>
      <c r="M1" s="183"/>
      <c r="N1" s="183"/>
      <c r="O1" s="183" t="str">
        <f>'Page de garde'!B4</f>
        <v>CH xxx</v>
      </c>
      <c r="P1" s="183"/>
      <c r="Q1" s="183"/>
      <c r="R1" s="183"/>
      <c r="S1" s="183"/>
      <c r="T1" s="183"/>
      <c r="U1" s="183"/>
      <c r="V1" s="183"/>
      <c r="W1" s="183" t="s">
        <v>97</v>
      </c>
      <c r="X1" s="183"/>
      <c r="Y1" s="187"/>
      <c r="Z1" s="188" t="str">
        <f>'Page de garde'!E12 &amp; " "&amp;'Page de garde'!E9</f>
        <v>mai 2019</v>
      </c>
      <c r="AA1" s="189"/>
      <c r="AB1" s="189"/>
    </row>
    <row r="2" spans="1:31" ht="15.75" thickBot="1" x14ac:dyDescent="0.3">
      <c r="A2" s="170"/>
      <c r="B2" s="170"/>
      <c r="C2" s="170"/>
    </row>
    <row r="3" spans="1:31" s="6" customFormat="1" ht="15.75" customHeight="1" x14ac:dyDescent="0.25">
      <c r="A3" s="191" t="s">
        <v>120</v>
      </c>
      <c r="B3" s="191"/>
      <c r="C3" s="191"/>
      <c r="D3" s="191"/>
      <c r="E3" s="191"/>
      <c r="F3" s="191"/>
      <c r="G3" s="191"/>
      <c r="H3" s="191"/>
      <c r="I3" s="191"/>
      <c r="J3" s="191"/>
      <c r="K3" s="191"/>
      <c r="L3" s="191"/>
      <c r="M3" s="4"/>
      <c r="N3" s="184" t="str">
        <f>"Ecart avec les données de l'année " &amp; année-1 &amp; " (à la date de transmission)"</f>
        <v>Ecart avec les données de l'année 2018 (à la date de transmission)</v>
      </c>
      <c r="O3" s="185"/>
      <c r="P3" s="185"/>
      <c r="Q3" s="185"/>
      <c r="R3" s="185"/>
      <c r="S3" s="185"/>
      <c r="T3" s="185"/>
      <c r="U3" s="185"/>
      <c r="V3" s="185"/>
      <c r="W3" s="185"/>
      <c r="X3" s="185"/>
      <c r="Y3" s="185"/>
      <c r="Z3" s="185"/>
      <c r="AA3" s="185"/>
      <c r="AB3" s="186"/>
      <c r="AC3" s="43"/>
      <c r="AD3" s="4"/>
      <c r="AE3" s="4"/>
    </row>
    <row r="4" spans="1:31" s="6" customFormat="1" ht="30" x14ac:dyDescent="0.25">
      <c r="A4" s="191"/>
      <c r="B4" s="191"/>
      <c r="C4" s="191"/>
      <c r="D4" s="191"/>
      <c r="E4" s="191"/>
      <c r="F4" s="191"/>
      <c r="G4" s="191"/>
      <c r="H4" s="191"/>
      <c r="I4" s="191"/>
      <c r="J4" s="191"/>
      <c r="K4" s="191"/>
      <c r="L4" s="191"/>
      <c r="M4" s="4"/>
      <c r="N4" s="168"/>
      <c r="O4" s="167"/>
      <c r="P4" s="167"/>
      <c r="Q4" s="60" t="str">
        <f>"à fin janv " &amp; année</f>
        <v>à fin janv 2019</v>
      </c>
      <c r="R4" s="60" t="str">
        <f>"à fin fév " &amp; année</f>
        <v>à fin fév 2019</v>
      </c>
      <c r="S4" s="60" t="str">
        <f>"à fin mars " &amp; année</f>
        <v>à fin mars 2019</v>
      </c>
      <c r="T4" s="60" t="str">
        <f>"à fin avril " &amp; année</f>
        <v>à fin avril 2019</v>
      </c>
      <c r="U4" s="60" t="str">
        <f>"à fin mai " &amp; année</f>
        <v>à fin mai 2019</v>
      </c>
      <c r="V4" s="60" t="str">
        <f>"à fin juin " &amp; année</f>
        <v>à fin juin 2019</v>
      </c>
      <c r="W4" s="60" t="str">
        <f>"à fin juil " &amp; année</f>
        <v>à fin juil 2019</v>
      </c>
      <c r="X4" s="60" t="str">
        <f>"à fin août " &amp; année</f>
        <v>à fin août 2019</v>
      </c>
      <c r="Y4" s="60" t="str">
        <f>"à fin sept " &amp; année</f>
        <v>à fin sept 2019</v>
      </c>
      <c r="Z4" s="60" t="str">
        <f>"à fin oct " &amp; année</f>
        <v>à fin oct 2019</v>
      </c>
      <c r="AA4" s="60" t="str">
        <f>"à fin nov " &amp; année</f>
        <v>à fin nov 2019</v>
      </c>
      <c r="AB4" s="61" t="str">
        <f>"à fin déc " &amp; année</f>
        <v>à fin déc 2019</v>
      </c>
      <c r="AC4" s="43"/>
      <c r="AE4" s="4"/>
    </row>
    <row r="5" spans="1:31" s="6" customFormat="1" ht="35.25" customHeight="1" x14ac:dyDescent="0.25">
      <c r="A5" s="191"/>
      <c r="B5" s="191"/>
      <c r="C5" s="191"/>
      <c r="D5" s="191"/>
      <c r="E5" s="191"/>
      <c r="F5" s="191"/>
      <c r="G5" s="191"/>
      <c r="H5" s="191"/>
      <c r="I5" s="191"/>
      <c r="J5" s="191"/>
      <c r="K5" s="191"/>
      <c r="L5" s="191"/>
      <c r="M5" s="4"/>
      <c r="N5" s="219" t="s">
        <v>118</v>
      </c>
      <c r="O5" s="220"/>
      <c r="P5" s="220"/>
      <c r="Q5" s="117" t="str">
        <f>IFERROR((D11-'Base données mensuelles n-1'!B77)/'Base données mensuelles n-1'!B77, "-")</f>
        <v>-</v>
      </c>
      <c r="R5" s="117" t="str">
        <f>IFERROR((E11-'Base données mensuelles n-1'!C77)/'Base données mensuelles n-1'!C77, "-")</f>
        <v>-</v>
      </c>
      <c r="S5" s="117" t="str">
        <f>IFERROR((F11-'Base données mensuelles n-1'!D77)/'Base données mensuelles n-1'!D77, "-")</f>
        <v>-</v>
      </c>
      <c r="T5" s="117" t="str">
        <f>IFERROR((G11-'Base données mensuelles n-1'!E77)/'Base données mensuelles n-1'!E77, "-")</f>
        <v>-</v>
      </c>
      <c r="U5" s="117" t="str">
        <f>IFERROR((H11-'Base données mensuelles n-1'!F77)/'Base données mensuelles n-1'!F77, "-")</f>
        <v>-</v>
      </c>
      <c r="V5" s="117" t="str">
        <f>IFERROR((I11-'Base données mensuelles n-1'!G77)/'Base données mensuelles n-1'!G77, "-")</f>
        <v>-</v>
      </c>
      <c r="W5" s="117" t="str">
        <f>IFERROR((J11-'Base données mensuelles n-1'!H77)/'Base données mensuelles n-1'!H77, "-")</f>
        <v>-</v>
      </c>
      <c r="X5" s="117" t="str">
        <f>IFERROR((K11-'Base données mensuelles n-1'!I77)/'Base données mensuelles n-1'!I77, "-")</f>
        <v>-</v>
      </c>
      <c r="Y5" s="117" t="str">
        <f>IFERROR((L11-'Base données mensuelles n-1'!J77)/'Base données mensuelles n-1'!J77, "-")</f>
        <v>-</v>
      </c>
      <c r="Z5" s="117" t="str">
        <f>IF(M11=0, " ",(M11-'Base données mensuelles n-1'!K77)/'Base données mensuelles n-1'!K77)</f>
        <v xml:space="preserve"> </v>
      </c>
      <c r="AA5" s="117" t="str">
        <f>IF(N11=0, " ",(N11-'Base données mensuelles n-1'!L77)/'Base données mensuelles n-1'!L77)</f>
        <v xml:space="preserve"> </v>
      </c>
      <c r="AB5" s="118" t="str">
        <f>IF(O11=0, " ",(O11-'Base données mensuelles n-1'!M77)/'Base données mensuelles n-1'!M77)</f>
        <v xml:space="preserve"> </v>
      </c>
      <c r="AC5" s="43"/>
      <c r="AD5" s="4"/>
      <c r="AE5" s="4"/>
    </row>
    <row r="6" spans="1:31" s="6" customFormat="1" x14ac:dyDescent="0.25">
      <c r="A6" s="191"/>
      <c r="B6" s="191"/>
      <c r="C6" s="191"/>
      <c r="D6" s="191"/>
      <c r="E6" s="191"/>
      <c r="F6" s="191"/>
      <c r="G6" s="191"/>
      <c r="H6" s="191"/>
      <c r="I6" s="191"/>
      <c r="J6" s="191"/>
      <c r="K6" s="191"/>
      <c r="L6" s="191"/>
      <c r="M6" s="4"/>
      <c r="N6" s="219" t="s">
        <v>28</v>
      </c>
      <c r="O6" s="220"/>
      <c r="P6" s="220"/>
      <c r="Q6" s="117" t="str">
        <f>IFERROR((D12-'Base données mensuelles n-1'!B78)/'Base données mensuelles n-1'!B78, "-")</f>
        <v>-</v>
      </c>
      <c r="R6" s="117" t="str">
        <f>IFERROR((E12-'Base données mensuelles n-1'!C78)/'Base données mensuelles n-1'!C78, "-")</f>
        <v>-</v>
      </c>
      <c r="S6" s="117" t="str">
        <f>IFERROR((F12-'Base données mensuelles n-1'!D78)/'Base données mensuelles n-1'!D78, "-")</f>
        <v>-</v>
      </c>
      <c r="T6" s="117" t="str">
        <f>IFERROR((G12-'Base données mensuelles n-1'!E78)/'Base données mensuelles n-1'!E78, "-")</f>
        <v>-</v>
      </c>
      <c r="U6" s="117" t="str">
        <f>IFERROR((H12-'Base données mensuelles n-1'!F78)/'Base données mensuelles n-1'!F78, "-")</f>
        <v>-</v>
      </c>
      <c r="V6" s="117" t="str">
        <f>IFERROR((I12-'Base données mensuelles n-1'!G78)/'Base données mensuelles n-1'!G78, "-")</f>
        <v>-</v>
      </c>
      <c r="W6" s="117" t="str">
        <f>IFERROR((J12-'Base données mensuelles n-1'!H78)/'Base données mensuelles n-1'!H78, "-")</f>
        <v>-</v>
      </c>
      <c r="X6" s="117" t="str">
        <f>IFERROR((K12-'Base données mensuelles n-1'!I78)/'Base données mensuelles n-1'!I78, "-")</f>
        <v>-</v>
      </c>
      <c r="Y6" s="117" t="str">
        <f>IFERROR((L12-'Base données mensuelles n-1'!J78)/'Base données mensuelles n-1'!J78, "-")</f>
        <v>-</v>
      </c>
      <c r="Z6" s="117" t="str">
        <f>IF(M12=0, " ",(M12-'Base données mensuelles n-1'!K78)/'Base données mensuelles n-1'!K78)</f>
        <v xml:space="preserve"> </v>
      </c>
      <c r="AA6" s="117" t="str">
        <f>IF(N12=0, " ",(N12-'Base données mensuelles n-1'!L78)/'Base données mensuelles n-1'!L78)</f>
        <v xml:space="preserve"> </v>
      </c>
      <c r="AB6" s="118" t="str">
        <f>IF(O12=0, " ",(O12-'Base données mensuelles n-1'!M78)/'Base données mensuelles n-1'!M78)</f>
        <v xml:space="preserve"> </v>
      </c>
      <c r="AC6" s="43"/>
      <c r="AD6" s="4"/>
      <c r="AE6" s="4"/>
    </row>
    <row r="7" spans="1:31" s="6" customFormat="1" x14ac:dyDescent="0.25">
      <c r="A7" s="191"/>
      <c r="B7" s="191"/>
      <c r="C7" s="191"/>
      <c r="D7" s="191"/>
      <c r="E7" s="191"/>
      <c r="F7" s="191"/>
      <c r="G7" s="191"/>
      <c r="H7" s="191"/>
      <c r="I7" s="191"/>
      <c r="J7" s="191"/>
      <c r="K7" s="191"/>
      <c r="L7" s="191"/>
      <c r="M7" s="4"/>
      <c r="N7" s="219" t="s">
        <v>29</v>
      </c>
      <c r="O7" s="220"/>
      <c r="P7" s="220"/>
      <c r="Q7" s="117" t="str">
        <f>IFERROR((D13-'Base données mensuelles n-1'!B79)/'Base données mensuelles n-1'!B79, "-")</f>
        <v>-</v>
      </c>
      <c r="R7" s="117" t="str">
        <f>IFERROR((E13-'Base données mensuelles n-1'!C79)/'Base données mensuelles n-1'!C79, "-")</f>
        <v>-</v>
      </c>
      <c r="S7" s="117" t="str">
        <f>IFERROR((F13-'Base données mensuelles n-1'!D79)/'Base données mensuelles n-1'!D79, "-")</f>
        <v>-</v>
      </c>
      <c r="T7" s="117" t="str">
        <f>IFERROR((G13-'Base données mensuelles n-1'!E79)/'Base données mensuelles n-1'!E79, "-")</f>
        <v>-</v>
      </c>
      <c r="U7" s="117" t="str">
        <f>IFERROR((H13-'Base données mensuelles n-1'!F79)/'Base données mensuelles n-1'!F79, "-")</f>
        <v>-</v>
      </c>
      <c r="V7" s="117" t="str">
        <f>IFERROR((I13-'Base données mensuelles n-1'!G79)/'Base données mensuelles n-1'!G79, "-")</f>
        <v>-</v>
      </c>
      <c r="W7" s="117" t="str">
        <f>IFERROR((J13-'Base données mensuelles n-1'!H79)/'Base données mensuelles n-1'!H79, "-")</f>
        <v>-</v>
      </c>
      <c r="X7" s="117" t="str">
        <f>IFERROR((K13-'Base données mensuelles n-1'!I79)/'Base données mensuelles n-1'!I79, "-")</f>
        <v>-</v>
      </c>
      <c r="Y7" s="117" t="str">
        <f>IFERROR((L13-'Base données mensuelles n-1'!J79)/'Base données mensuelles n-1'!J79, "-")</f>
        <v>-</v>
      </c>
      <c r="Z7" s="117" t="str">
        <f>IF(M13=0, " ",(M13-'Base données mensuelles n-1'!K79)/'Base données mensuelles n-1'!K79)</f>
        <v xml:space="preserve"> </v>
      </c>
      <c r="AA7" s="117" t="str">
        <f>IF(N13=0, " ",(N13-'Base données mensuelles n-1'!L79)/'Base données mensuelles n-1'!L79)</f>
        <v xml:space="preserve"> </v>
      </c>
      <c r="AB7" s="118" t="str">
        <f>IF(O13=0, " ",(O13-'Base données mensuelles n-1'!M79)/'Base données mensuelles n-1'!M79)</f>
        <v xml:space="preserve"> </v>
      </c>
      <c r="AC7" s="43"/>
      <c r="AD7" s="4"/>
      <c r="AE7" s="4"/>
    </row>
    <row r="8" spans="1:31" s="6" customFormat="1" ht="15.75" thickBot="1" x14ac:dyDescent="0.3">
      <c r="A8" s="191"/>
      <c r="B8" s="191"/>
      <c r="C8" s="191"/>
      <c r="D8" s="191"/>
      <c r="E8" s="191"/>
      <c r="F8" s="191"/>
      <c r="G8" s="191"/>
      <c r="H8" s="191"/>
      <c r="I8" s="191"/>
      <c r="J8" s="191"/>
      <c r="K8" s="191"/>
      <c r="L8" s="191"/>
      <c r="M8" s="4"/>
      <c r="N8" s="221" t="s">
        <v>67</v>
      </c>
      <c r="O8" s="222"/>
      <c r="P8" s="222"/>
      <c r="Q8" s="78" t="str">
        <f>IFERROR((D14-'Base données mensuelles n-1'!B80)/'Base données mensuelles n-1'!B80, "-")</f>
        <v>-</v>
      </c>
      <c r="R8" s="78" t="str">
        <f>IFERROR((E14-'Base données mensuelles n-1'!C80)/'Base données mensuelles n-1'!C80, "-")</f>
        <v>-</v>
      </c>
      <c r="S8" s="78" t="str">
        <f>IFERROR((F14-'Base données mensuelles n-1'!D80)/'Base données mensuelles n-1'!D80, "-")</f>
        <v>-</v>
      </c>
      <c r="T8" s="78" t="str">
        <f>IFERROR((G14-'Base données mensuelles n-1'!E80)/'Base données mensuelles n-1'!E80, "-")</f>
        <v>-</v>
      </c>
      <c r="U8" s="78" t="str">
        <f>IFERROR((H14-'Base données mensuelles n-1'!F80)/'Base données mensuelles n-1'!F80, "-")</f>
        <v>-</v>
      </c>
      <c r="V8" s="78" t="str">
        <f>IFERROR((I14-'Base données mensuelles n-1'!G80)/'Base données mensuelles n-1'!G80, "-")</f>
        <v>-</v>
      </c>
      <c r="W8" s="78" t="str">
        <f>IFERROR((J14-'Base données mensuelles n-1'!H80)/'Base données mensuelles n-1'!H80, "-")</f>
        <v>-</v>
      </c>
      <c r="X8" s="78" t="str">
        <f>IFERROR((K14-'Base données mensuelles n-1'!I80)/'Base données mensuelles n-1'!I80, "-")</f>
        <v>-</v>
      </c>
      <c r="Y8" s="78" t="str">
        <f>IFERROR((L14-'Base données mensuelles n-1'!J80)/'Base données mensuelles n-1'!J80, "-")</f>
        <v>-</v>
      </c>
      <c r="Z8" s="78" t="str">
        <f>IFERROR((M14-'Base données mensuelles n-1'!K80)/'Base données mensuelles n-1'!K80, "-")</f>
        <v>-</v>
      </c>
      <c r="AA8" s="78" t="str">
        <f>IFERROR((N14-'Base données mensuelles n-1'!L80)/'Base données mensuelles n-1'!L80, "-")</f>
        <v>-</v>
      </c>
      <c r="AB8" s="79" t="str">
        <f>IFERROR((O14-'Base données mensuelles n-1'!M80)/'Base données mensuelles n-1'!M80, "-")</f>
        <v>-</v>
      </c>
      <c r="AC8" s="43"/>
      <c r="AD8" s="4"/>
      <c r="AE8" s="4"/>
    </row>
    <row r="9" spans="1:31" ht="36" customHeight="1" x14ac:dyDescent="0.25">
      <c r="A9" s="6"/>
    </row>
    <row r="10" spans="1:31" ht="30" x14ac:dyDescent="0.25">
      <c r="A10" s="23" t="s">
        <v>78</v>
      </c>
      <c r="B10" s="77">
        <f>année-2</f>
        <v>2017</v>
      </c>
      <c r="C10" s="77">
        <f>année-1</f>
        <v>2018</v>
      </c>
      <c r="D10" s="24" t="str">
        <f>"janv " &amp; année</f>
        <v>janv 2019</v>
      </c>
      <c r="E10" s="24" t="str">
        <f>"fév " &amp; année</f>
        <v>fév 2019</v>
      </c>
      <c r="F10" s="24" t="str">
        <f>"mars " &amp; année</f>
        <v>mars 2019</v>
      </c>
      <c r="G10" s="24" t="str">
        <f>"avril " &amp; année</f>
        <v>avril 2019</v>
      </c>
      <c r="H10" s="24" t="str">
        <f>"mai " &amp; année</f>
        <v>mai 2019</v>
      </c>
      <c r="I10" s="24" t="str">
        <f>"juin " &amp; année</f>
        <v>juin 2019</v>
      </c>
      <c r="J10" s="24" t="str">
        <f>"juil " &amp; année</f>
        <v>juil 2019</v>
      </c>
      <c r="K10" s="24" t="str">
        <f>"août " &amp; année</f>
        <v>août 2019</v>
      </c>
      <c r="L10" s="24" t="str">
        <f>"sept " &amp; année</f>
        <v>sept 2019</v>
      </c>
      <c r="M10" s="24" t="str">
        <f>"oct " &amp; année</f>
        <v>oct 2019</v>
      </c>
      <c r="N10" s="24" t="str">
        <f>"nov " &amp; année</f>
        <v>nov 2019</v>
      </c>
      <c r="O10" s="24" t="str">
        <f>"déc " &amp; année</f>
        <v>déc 2019</v>
      </c>
    </row>
    <row r="11" spans="1:31" ht="31.5" customHeight="1" x14ac:dyDescent="0.25">
      <c r="A11" s="148" t="s">
        <v>119</v>
      </c>
      <c r="B11" s="115"/>
      <c r="C11" s="115"/>
      <c r="D11" s="115"/>
      <c r="E11" s="115"/>
      <c r="F11" s="115"/>
      <c r="G11" s="115"/>
      <c r="H11" s="115"/>
      <c r="I11" s="115"/>
      <c r="J11" s="115"/>
      <c r="K11" s="115"/>
      <c r="L11" s="115"/>
      <c r="M11" s="115"/>
      <c r="N11" s="115"/>
      <c r="O11" s="115"/>
    </row>
    <row r="12" spans="1:31" ht="21.95" customHeight="1" x14ac:dyDescent="0.25">
      <c r="A12" s="148" t="s">
        <v>28</v>
      </c>
      <c r="B12" s="115"/>
      <c r="C12" s="115"/>
      <c r="D12" s="115"/>
      <c r="E12" s="115"/>
      <c r="F12" s="115"/>
      <c r="G12" s="115"/>
      <c r="H12" s="115"/>
      <c r="I12" s="115"/>
      <c r="J12" s="115"/>
      <c r="K12" s="115"/>
      <c r="L12" s="115"/>
      <c r="M12" s="115"/>
      <c r="N12" s="115"/>
      <c r="O12" s="115"/>
    </row>
    <row r="13" spans="1:31" ht="21.95" customHeight="1" x14ac:dyDescent="0.25">
      <c r="A13" s="148" t="s">
        <v>29</v>
      </c>
      <c r="B13" s="115"/>
      <c r="C13" s="115"/>
      <c r="D13" s="115"/>
      <c r="E13" s="115"/>
      <c r="F13" s="115"/>
      <c r="G13" s="115"/>
      <c r="H13" s="115"/>
      <c r="I13" s="115"/>
      <c r="J13" s="115"/>
      <c r="K13" s="115"/>
      <c r="L13" s="115"/>
      <c r="M13" s="115"/>
      <c r="N13" s="115"/>
      <c r="O13" s="115"/>
    </row>
    <row r="14" spans="1:31" ht="30" customHeight="1" x14ac:dyDescent="0.25">
      <c r="A14" s="12" t="s">
        <v>65</v>
      </c>
      <c r="B14" s="13">
        <f>SUM(B11:B13)</f>
        <v>0</v>
      </c>
      <c r="C14" s="13">
        <f t="shared" ref="C14" si="0">SUM(C11:C13)</f>
        <v>0</v>
      </c>
      <c r="D14" s="13" t="e">
        <f>IF(SUM(D11:D13)=0,#N/A,SUM(D11:D13))</f>
        <v>#N/A</v>
      </c>
      <c r="E14" s="13" t="e">
        <f t="shared" ref="E14:O14" si="1">IF(SUM(E11:E13)=0,#N/A,SUM(E11:E13))</f>
        <v>#N/A</v>
      </c>
      <c r="F14" s="13" t="e">
        <f t="shared" si="1"/>
        <v>#N/A</v>
      </c>
      <c r="G14" s="13" t="e">
        <f t="shared" si="1"/>
        <v>#N/A</v>
      </c>
      <c r="H14" s="13" t="e">
        <f t="shared" si="1"/>
        <v>#N/A</v>
      </c>
      <c r="I14" s="13" t="e">
        <f t="shared" si="1"/>
        <v>#N/A</v>
      </c>
      <c r="J14" s="13" t="e">
        <f t="shared" si="1"/>
        <v>#N/A</v>
      </c>
      <c r="K14" s="13" t="e">
        <f t="shared" si="1"/>
        <v>#N/A</v>
      </c>
      <c r="L14" s="13" t="e">
        <f t="shared" si="1"/>
        <v>#N/A</v>
      </c>
      <c r="M14" s="13" t="e">
        <f t="shared" si="1"/>
        <v>#N/A</v>
      </c>
      <c r="N14" s="13" t="e">
        <f t="shared" si="1"/>
        <v>#N/A</v>
      </c>
      <c r="O14" s="13" t="e">
        <f t="shared" si="1"/>
        <v>#N/A</v>
      </c>
    </row>
    <row r="15" spans="1:31" ht="30" customHeight="1" x14ac:dyDescent="0.25">
      <c r="A15" s="48" t="s">
        <v>64</v>
      </c>
      <c r="B15" s="143"/>
      <c r="C15" s="143"/>
      <c r="D15" s="114"/>
      <c r="E15" s="114"/>
      <c r="F15" s="114"/>
      <c r="G15" s="114"/>
      <c r="H15" s="114"/>
      <c r="I15" s="114"/>
      <c r="J15" s="114"/>
      <c r="K15" s="114"/>
      <c r="L15" s="114"/>
      <c r="M15" s="114"/>
      <c r="N15" s="114"/>
      <c r="O15" s="114"/>
    </row>
    <row r="16" spans="1:31" customFormat="1" ht="51.75" customHeight="1" x14ac:dyDescent="0.25"/>
    <row r="17" spans="1:15" s="6" customFormat="1" x14ac:dyDescent="0.25">
      <c r="A17" s="182" t="s">
        <v>112</v>
      </c>
      <c r="B17" s="182"/>
      <c r="C17" s="182"/>
      <c r="D17" s="182"/>
      <c r="E17" s="206"/>
      <c r="F17" s="206"/>
      <c r="G17" s="206"/>
      <c r="H17" s="206"/>
      <c r="I17" s="206"/>
      <c r="J17" s="206"/>
      <c r="K17" s="206"/>
      <c r="L17" s="206"/>
      <c r="M17" s="206"/>
      <c r="N17" s="206"/>
      <c r="O17" s="206"/>
    </row>
    <row r="18" spans="1:15" s="6" customFormat="1" x14ac:dyDescent="0.25">
      <c r="A18" s="182"/>
      <c r="B18" s="182"/>
      <c r="C18" s="182"/>
      <c r="D18" s="182"/>
      <c r="E18" s="206"/>
      <c r="F18" s="206"/>
      <c r="G18" s="206"/>
      <c r="H18" s="206"/>
      <c r="I18" s="206"/>
      <c r="J18" s="206"/>
      <c r="K18" s="206"/>
      <c r="L18" s="206"/>
      <c r="M18" s="206"/>
      <c r="N18" s="206"/>
      <c r="O18" s="206"/>
    </row>
    <row r="19" spans="1:15" customFormat="1" x14ac:dyDescent="0.25">
      <c r="A19" s="182"/>
      <c r="B19" s="182"/>
      <c r="C19" s="182"/>
      <c r="D19" s="182"/>
      <c r="E19" s="206"/>
      <c r="F19" s="206"/>
      <c r="G19" s="206"/>
      <c r="H19" s="206"/>
      <c r="I19" s="206"/>
      <c r="J19" s="206"/>
      <c r="K19" s="206"/>
      <c r="L19" s="206"/>
      <c r="M19" s="206"/>
      <c r="N19" s="206"/>
      <c r="O19" s="206"/>
    </row>
    <row r="20" spans="1:15" customFormat="1" x14ac:dyDescent="0.25">
      <c r="A20" s="182"/>
      <c r="B20" s="182"/>
      <c r="C20" s="182"/>
      <c r="D20" s="182"/>
      <c r="E20" s="206"/>
      <c r="F20" s="206"/>
      <c r="G20" s="206"/>
      <c r="H20" s="206"/>
      <c r="I20" s="206"/>
      <c r="J20" s="206"/>
      <c r="K20" s="206"/>
      <c r="L20" s="206"/>
      <c r="M20" s="206"/>
      <c r="N20" s="206"/>
      <c r="O20" s="206"/>
    </row>
    <row r="21" spans="1:15" customFormat="1" x14ac:dyDescent="0.25">
      <c r="A21" s="182"/>
      <c r="B21" s="182"/>
      <c r="C21" s="182"/>
      <c r="D21" s="182"/>
      <c r="E21" s="206"/>
      <c r="F21" s="206"/>
      <c r="G21" s="206"/>
      <c r="H21" s="206"/>
      <c r="I21" s="206"/>
      <c r="J21" s="206"/>
      <c r="K21" s="206"/>
      <c r="L21" s="206"/>
      <c r="M21" s="206"/>
      <c r="N21" s="206"/>
      <c r="O21" s="206"/>
    </row>
    <row r="22" spans="1:15" customFormat="1" x14ac:dyDescent="0.25">
      <c r="A22" s="169"/>
      <c r="B22" s="169"/>
      <c r="C22" s="169"/>
      <c r="D22" s="169"/>
      <c r="E22" s="169"/>
      <c r="F22" s="169"/>
      <c r="G22" s="169"/>
      <c r="H22" s="169"/>
      <c r="I22" s="169"/>
      <c r="J22" s="169"/>
      <c r="K22" s="169"/>
      <c r="L22" s="169"/>
      <c r="M22" s="169"/>
      <c r="N22" s="169"/>
      <c r="O22" s="169"/>
    </row>
    <row r="23" spans="1:15" s="14" customFormat="1" x14ac:dyDescent="0.25">
      <c r="A23" s="194" t="s">
        <v>121</v>
      </c>
      <c r="B23" s="194"/>
      <c r="C23" s="194"/>
      <c r="D23" s="194"/>
      <c r="E23" s="194"/>
      <c r="F23" s="194"/>
      <c r="G23" s="194"/>
      <c r="H23" s="194"/>
      <c r="I23" s="194"/>
      <c r="J23" s="194"/>
      <c r="K23" s="194"/>
      <c r="L23" s="194"/>
      <c r="M23" s="194"/>
      <c r="N23" s="194"/>
      <c r="O23" s="194"/>
    </row>
    <row r="24" spans="1:15" x14ac:dyDescent="0.25">
      <c r="A24" s="218"/>
      <c r="B24" s="218"/>
      <c r="C24" s="218"/>
      <c r="D24" s="218"/>
      <c r="E24" s="218"/>
      <c r="F24" s="218"/>
      <c r="G24" s="218"/>
      <c r="H24" s="218"/>
      <c r="I24" s="218"/>
      <c r="J24" s="218"/>
      <c r="K24" s="218"/>
      <c r="L24" s="218"/>
      <c r="M24" s="218"/>
      <c r="N24" s="218"/>
      <c r="O24" s="218"/>
    </row>
    <row r="25" spans="1:15" x14ac:dyDescent="0.25">
      <c r="A25" s="218"/>
      <c r="B25" s="218"/>
      <c r="C25" s="218"/>
      <c r="D25" s="218"/>
      <c r="E25" s="218"/>
      <c r="F25" s="218"/>
      <c r="G25" s="218"/>
      <c r="H25" s="218"/>
      <c r="I25" s="218"/>
      <c r="J25" s="218"/>
      <c r="K25" s="218"/>
      <c r="L25" s="218"/>
      <c r="M25" s="218"/>
      <c r="N25" s="218"/>
      <c r="O25" s="218"/>
    </row>
    <row r="26" spans="1:15" x14ac:dyDescent="0.25">
      <c r="A26" s="218"/>
      <c r="B26" s="218"/>
      <c r="C26" s="218"/>
      <c r="D26" s="218"/>
      <c r="E26" s="218"/>
      <c r="F26" s="218"/>
      <c r="G26" s="218"/>
      <c r="H26" s="218"/>
      <c r="I26" s="218"/>
      <c r="J26" s="218"/>
      <c r="K26" s="218"/>
      <c r="L26" s="218"/>
      <c r="M26" s="218"/>
      <c r="N26" s="218"/>
      <c r="O26" s="218"/>
    </row>
    <row r="27" spans="1:15" x14ac:dyDescent="0.25">
      <c r="A27" s="218"/>
      <c r="B27" s="218"/>
      <c r="C27" s="218"/>
      <c r="D27" s="218"/>
      <c r="E27" s="218"/>
      <c r="F27" s="218"/>
      <c r="G27" s="218"/>
      <c r="H27" s="218"/>
      <c r="I27" s="218"/>
      <c r="J27" s="218"/>
      <c r="K27" s="218"/>
      <c r="L27" s="218"/>
      <c r="M27" s="218"/>
      <c r="N27" s="218"/>
      <c r="O27" s="218"/>
    </row>
    <row r="28" spans="1:15" x14ac:dyDescent="0.25">
      <c r="A28" s="218"/>
      <c r="B28" s="218"/>
      <c r="C28" s="218"/>
      <c r="D28" s="218"/>
      <c r="E28" s="218"/>
      <c r="F28" s="218"/>
      <c r="G28" s="218"/>
      <c r="H28" s="218"/>
      <c r="I28" s="218"/>
      <c r="J28" s="218"/>
      <c r="K28" s="218"/>
      <c r="L28" s="218"/>
      <c r="M28" s="218"/>
      <c r="N28" s="218"/>
      <c r="O28" s="218"/>
    </row>
    <row r="29" spans="1:15" x14ac:dyDescent="0.25">
      <c r="A29" s="218"/>
      <c r="B29" s="218"/>
      <c r="C29" s="218"/>
      <c r="D29" s="218"/>
      <c r="E29" s="218"/>
      <c r="F29" s="218"/>
      <c r="G29" s="218"/>
      <c r="H29" s="218"/>
      <c r="I29" s="218"/>
      <c r="J29" s="218"/>
      <c r="K29" s="218"/>
      <c r="L29" s="218"/>
      <c r="M29" s="218"/>
      <c r="N29" s="218"/>
      <c r="O29" s="218"/>
    </row>
    <row r="30" spans="1:15" x14ac:dyDescent="0.25">
      <c r="A30" s="218"/>
      <c r="B30" s="218"/>
      <c r="C30" s="218"/>
      <c r="D30" s="218"/>
      <c r="E30" s="218"/>
      <c r="F30" s="218"/>
      <c r="G30" s="218"/>
      <c r="H30" s="218"/>
      <c r="I30" s="218"/>
      <c r="J30" s="218"/>
      <c r="K30" s="218"/>
      <c r="L30" s="218"/>
      <c r="M30" s="218"/>
      <c r="N30" s="218"/>
      <c r="O30" s="218"/>
    </row>
    <row r="31" spans="1:15" x14ac:dyDescent="0.25">
      <c r="A31" s="218"/>
      <c r="B31" s="218"/>
      <c r="C31" s="218"/>
      <c r="D31" s="218"/>
      <c r="E31" s="218"/>
      <c r="F31" s="218"/>
      <c r="G31" s="218"/>
      <c r="H31" s="218"/>
      <c r="I31" s="218"/>
      <c r="J31" s="218"/>
      <c r="K31" s="218"/>
      <c r="L31" s="218"/>
      <c r="M31" s="218"/>
      <c r="N31" s="218"/>
      <c r="O31" s="218"/>
    </row>
    <row r="32" spans="1:15" x14ac:dyDescent="0.25">
      <c r="A32" s="218"/>
      <c r="B32" s="218"/>
      <c r="C32" s="218"/>
      <c r="D32" s="218"/>
      <c r="E32" s="218"/>
      <c r="F32" s="218"/>
      <c r="G32" s="218"/>
      <c r="H32" s="218"/>
      <c r="I32" s="218"/>
      <c r="J32" s="218"/>
      <c r="K32" s="218"/>
      <c r="L32" s="218"/>
      <c r="M32" s="218"/>
      <c r="N32" s="218"/>
      <c r="O32" s="218"/>
    </row>
    <row r="33" spans="1:6" x14ac:dyDescent="0.25">
      <c r="A33" s="30"/>
      <c r="B33" s="30"/>
      <c r="C33" s="30"/>
      <c r="D33" s="30"/>
      <c r="E33" s="30"/>
      <c r="F33" s="30"/>
    </row>
    <row r="34" spans="1:6" x14ac:dyDescent="0.25">
      <c r="A34" s="30"/>
      <c r="B34" s="30"/>
      <c r="C34" s="30"/>
      <c r="D34" s="30"/>
      <c r="E34" s="30"/>
      <c r="F34" s="30"/>
    </row>
    <row r="36" spans="1:6" x14ac:dyDescent="0.25">
      <c r="A36" s="28"/>
    </row>
  </sheetData>
  <mergeCells count="15">
    <mergeCell ref="Z1:AB1"/>
    <mergeCell ref="A17:D21"/>
    <mergeCell ref="E17:O21"/>
    <mergeCell ref="A23:O23"/>
    <mergeCell ref="A24:O32"/>
    <mergeCell ref="A3:L8"/>
    <mergeCell ref="A1:I1"/>
    <mergeCell ref="J1:N1"/>
    <mergeCell ref="O1:V1"/>
    <mergeCell ref="W1:Y1"/>
    <mergeCell ref="N5:P5"/>
    <mergeCell ref="N6:P6"/>
    <mergeCell ref="N7:P7"/>
    <mergeCell ref="N8:P8"/>
    <mergeCell ref="N3:AB3"/>
  </mergeCells>
  <conditionalFormatting sqref="D14:O14">
    <cfRule type="expression" dxfId="0" priority="1">
      <formula>ISNA(D14)</formula>
    </cfRule>
  </conditionalFormatting>
  <pageMargins left="0.11811023622047245" right="0.11811023622047245" top="0.15748031496062992" bottom="0.15748031496062992" header="0.11811023622047245" footer="0.11811023622047245"/>
  <pageSetup paperSize="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showGridLines="0" workbookViewId="0">
      <selection activeCell="P78" sqref="P78"/>
    </sheetView>
  </sheetViews>
  <sheetFormatPr baseColWidth="10" defaultRowHeight="15" x14ac:dyDescent="0.25"/>
  <cols>
    <col min="1" max="1" width="25.42578125" style="55" bestFit="1" customWidth="1"/>
    <col min="2" max="16384" width="11.42578125" style="55"/>
  </cols>
  <sheetData>
    <row r="1" spans="1:13" ht="21" customHeight="1" x14ac:dyDescent="0.25">
      <c r="A1" s="224" t="s">
        <v>76</v>
      </c>
      <c r="B1" s="224"/>
      <c r="C1" s="224"/>
      <c r="D1" s="224"/>
      <c r="E1" s="224"/>
      <c r="F1" s="224"/>
      <c r="G1" s="224"/>
      <c r="H1" s="224"/>
      <c r="I1" s="224"/>
      <c r="J1" s="224"/>
      <c r="K1" s="224"/>
      <c r="L1" s="224"/>
      <c r="M1" s="224"/>
    </row>
    <row r="2" spans="1:13" ht="36.75" customHeight="1" x14ac:dyDescent="0.25">
      <c r="A2" s="226" t="str">
        <f>"Effectifs " &amp; année -1</f>
        <v>Effectifs 2018</v>
      </c>
      <c r="B2" s="226"/>
      <c r="C2" s="226"/>
      <c r="D2" s="226"/>
      <c r="E2" s="226"/>
      <c r="F2" s="226"/>
      <c r="G2" s="226"/>
      <c r="H2" s="226"/>
      <c r="I2" s="226"/>
      <c r="J2" s="226"/>
      <c r="K2" s="226"/>
      <c r="L2" s="226"/>
      <c r="M2" s="226"/>
    </row>
    <row r="3" spans="1:13" x14ac:dyDescent="0.25">
      <c r="A3" s="225" t="s">
        <v>52</v>
      </c>
      <c r="B3" s="225"/>
      <c r="C3" s="225"/>
      <c r="D3" s="225"/>
      <c r="E3" s="225"/>
      <c r="F3" s="225"/>
      <c r="G3" s="225"/>
      <c r="H3" s="225"/>
      <c r="I3" s="225"/>
      <c r="J3" s="225"/>
      <c r="K3" s="225"/>
      <c r="L3" s="225"/>
      <c r="M3" s="225"/>
    </row>
    <row r="4" spans="1:13" x14ac:dyDescent="0.25">
      <c r="A4" s="86"/>
      <c r="B4" s="86"/>
      <c r="C4" s="86"/>
      <c r="D4" s="86"/>
      <c r="E4" s="86"/>
      <c r="F4" s="86"/>
      <c r="G4" s="86"/>
      <c r="H4" s="86"/>
      <c r="I4" s="86"/>
      <c r="J4" s="86"/>
      <c r="K4" s="86"/>
      <c r="L4" s="86"/>
      <c r="M4" s="86"/>
    </row>
    <row r="5" spans="1:13" x14ac:dyDescent="0.25">
      <c r="A5" s="89" t="s">
        <v>61</v>
      </c>
      <c r="B5" s="87" t="str">
        <f>"janv " &amp; année-1</f>
        <v>janv 2018</v>
      </c>
      <c r="C5" s="87" t="str">
        <f>"fév " &amp; année-1</f>
        <v>fév 2018</v>
      </c>
      <c r="D5" s="87" t="str">
        <f>"mars " &amp; année-1</f>
        <v>mars 2018</v>
      </c>
      <c r="E5" s="87" t="str">
        <f>"avril " &amp; année-1</f>
        <v>avril 2018</v>
      </c>
      <c r="F5" s="87" t="str">
        <f>"mai " &amp; année-1</f>
        <v>mai 2018</v>
      </c>
      <c r="G5" s="87" t="str">
        <f>"juin " &amp; année-1</f>
        <v>juin 2018</v>
      </c>
      <c r="H5" s="87" t="str">
        <f>"juil " &amp; année-1</f>
        <v>juil 2018</v>
      </c>
      <c r="I5" s="87" t="str">
        <f>"août " &amp; année-1</f>
        <v>août 2018</v>
      </c>
      <c r="J5" s="87" t="str">
        <f>"sept " &amp; année-1</f>
        <v>sept 2018</v>
      </c>
      <c r="K5" s="87" t="str">
        <f>"oct " &amp; année-1</f>
        <v>oct 2018</v>
      </c>
      <c r="L5" s="87" t="str">
        <f>"nov " &amp; année-1</f>
        <v>nov 2018</v>
      </c>
      <c r="M5" s="87" t="str">
        <f>"déc " &amp; année-1</f>
        <v>déc 2018</v>
      </c>
    </row>
    <row r="6" spans="1:13" x14ac:dyDescent="0.25">
      <c r="A6" s="86" t="s">
        <v>53</v>
      </c>
      <c r="B6" s="144"/>
      <c r="C6" s="144"/>
      <c r="D6" s="144"/>
      <c r="E6" s="144"/>
      <c r="F6" s="144"/>
      <c r="G6" s="144"/>
      <c r="H6" s="144"/>
      <c r="I6" s="144"/>
      <c r="J6" s="144"/>
      <c r="K6" s="144"/>
      <c r="L6" s="144"/>
      <c r="M6" s="144"/>
    </row>
    <row r="7" spans="1:13" x14ac:dyDescent="0.25">
      <c r="A7" s="86" t="s">
        <v>54</v>
      </c>
      <c r="B7" s="145">
        <f>B8+B9</f>
        <v>0</v>
      </c>
      <c r="C7" s="145">
        <f t="shared" ref="C7:M7" si="0">C8+C9</f>
        <v>0</v>
      </c>
      <c r="D7" s="145">
        <f t="shared" si="0"/>
        <v>0</v>
      </c>
      <c r="E7" s="145">
        <f t="shared" si="0"/>
        <v>0</v>
      </c>
      <c r="F7" s="145">
        <f t="shared" si="0"/>
        <v>0</v>
      </c>
      <c r="G7" s="145">
        <f t="shared" si="0"/>
        <v>0</v>
      </c>
      <c r="H7" s="145">
        <f t="shared" si="0"/>
        <v>0</v>
      </c>
      <c r="I7" s="145">
        <f t="shared" si="0"/>
        <v>0</v>
      </c>
      <c r="J7" s="145">
        <f t="shared" si="0"/>
        <v>0</v>
      </c>
      <c r="K7" s="145">
        <f t="shared" si="0"/>
        <v>0</v>
      </c>
      <c r="L7" s="145">
        <f t="shared" si="0"/>
        <v>0</v>
      </c>
      <c r="M7" s="145">
        <f t="shared" si="0"/>
        <v>0</v>
      </c>
    </row>
    <row r="8" spans="1:13" x14ac:dyDescent="0.25">
      <c r="A8" s="88" t="s">
        <v>57</v>
      </c>
      <c r="B8" s="144"/>
      <c r="C8" s="144"/>
      <c r="D8" s="144"/>
      <c r="E8" s="144"/>
      <c r="F8" s="144"/>
      <c r="G8" s="144"/>
      <c r="H8" s="144"/>
      <c r="I8" s="144"/>
      <c r="J8" s="144"/>
      <c r="K8" s="144"/>
      <c r="L8" s="144"/>
      <c r="M8" s="144"/>
    </row>
    <row r="9" spans="1:13" x14ac:dyDescent="0.25">
      <c r="A9" s="88" t="s">
        <v>56</v>
      </c>
      <c r="B9" s="144"/>
      <c r="C9" s="144"/>
      <c r="D9" s="144"/>
      <c r="E9" s="144"/>
      <c r="F9" s="144"/>
      <c r="G9" s="144"/>
      <c r="H9" s="144"/>
      <c r="I9" s="144"/>
      <c r="J9" s="144"/>
      <c r="K9" s="144"/>
      <c r="L9" s="144"/>
      <c r="M9" s="144"/>
    </row>
    <row r="10" spans="1:13" x14ac:dyDescent="0.25">
      <c r="A10" s="86" t="s">
        <v>55</v>
      </c>
      <c r="B10" s="145">
        <f>B11+B12</f>
        <v>0</v>
      </c>
      <c r="C10" s="145">
        <f t="shared" ref="C10:M10" si="1">C11+C12</f>
        <v>0</v>
      </c>
      <c r="D10" s="145">
        <f t="shared" si="1"/>
        <v>0</v>
      </c>
      <c r="E10" s="145">
        <f t="shared" si="1"/>
        <v>0</v>
      </c>
      <c r="F10" s="145">
        <f t="shared" si="1"/>
        <v>0</v>
      </c>
      <c r="G10" s="145">
        <f t="shared" si="1"/>
        <v>0</v>
      </c>
      <c r="H10" s="145">
        <f t="shared" si="1"/>
        <v>0</v>
      </c>
      <c r="I10" s="145">
        <f t="shared" si="1"/>
        <v>0</v>
      </c>
      <c r="J10" s="145">
        <f t="shared" si="1"/>
        <v>0</v>
      </c>
      <c r="K10" s="145">
        <f t="shared" si="1"/>
        <v>0</v>
      </c>
      <c r="L10" s="145">
        <f t="shared" si="1"/>
        <v>0</v>
      </c>
      <c r="M10" s="145">
        <f t="shared" si="1"/>
        <v>0</v>
      </c>
    </row>
    <row r="11" spans="1:13" x14ac:dyDescent="0.25">
      <c r="A11" s="88" t="s">
        <v>57</v>
      </c>
      <c r="B11" s="144"/>
      <c r="C11" s="144"/>
      <c r="D11" s="144"/>
      <c r="E11" s="144"/>
      <c r="F11" s="144"/>
      <c r="G11" s="144"/>
      <c r="H11" s="144"/>
      <c r="I11" s="144"/>
      <c r="J11" s="144"/>
      <c r="K11" s="144"/>
      <c r="L11" s="144"/>
      <c r="M11" s="144"/>
    </row>
    <row r="12" spans="1:13" x14ac:dyDescent="0.25">
      <c r="A12" s="88" t="s">
        <v>56</v>
      </c>
      <c r="B12" s="144"/>
      <c r="C12" s="144"/>
      <c r="D12" s="144"/>
      <c r="E12" s="144"/>
      <c r="F12" s="144"/>
      <c r="G12" s="144"/>
      <c r="H12" s="144"/>
      <c r="I12" s="144"/>
      <c r="J12" s="144"/>
      <c r="K12" s="144"/>
      <c r="L12" s="144"/>
      <c r="M12" s="144"/>
    </row>
    <row r="13" spans="1:13" x14ac:dyDescent="0.25">
      <c r="A13" s="86"/>
      <c r="B13" s="86"/>
      <c r="C13" s="86"/>
      <c r="D13" s="86"/>
      <c r="E13" s="86"/>
      <c r="F13" s="86"/>
      <c r="G13" s="86"/>
      <c r="H13" s="86"/>
      <c r="I13" s="86"/>
      <c r="J13" s="86"/>
      <c r="K13" s="86"/>
      <c r="L13" s="86"/>
      <c r="M13" s="86"/>
    </row>
    <row r="14" spans="1:13" ht="32.25" customHeight="1" x14ac:dyDescent="0.25">
      <c r="A14" s="89" t="s">
        <v>62</v>
      </c>
      <c r="B14" s="87" t="str">
        <f>"janv " &amp; année-1</f>
        <v>janv 2018</v>
      </c>
      <c r="C14" s="87" t="str">
        <f>"janv-fév " &amp; année-1</f>
        <v>janv-fév 2018</v>
      </c>
      <c r="D14" s="87" t="str">
        <f>"janv-mars " &amp; année-1</f>
        <v>janv-mars 2018</v>
      </c>
      <c r="E14" s="87" t="str">
        <f>"janv-avril " &amp; année-1</f>
        <v>janv-avril 2018</v>
      </c>
      <c r="F14" s="87" t="str">
        <f>"janv-mai " &amp; année-1</f>
        <v>janv-mai 2018</v>
      </c>
      <c r="G14" s="87" t="str">
        <f>"janv-juin " &amp; année-1</f>
        <v>janv-juin 2018</v>
      </c>
      <c r="H14" s="87" t="str">
        <f>"janv-juil " &amp; année-1</f>
        <v>janv-juil 2018</v>
      </c>
      <c r="I14" s="87" t="str">
        <f>"janv-août " &amp; année-1</f>
        <v>janv-août 2018</v>
      </c>
      <c r="J14" s="87" t="str">
        <f>"janv-sept " &amp; année-1</f>
        <v>janv-sept 2018</v>
      </c>
      <c r="K14" s="87" t="str">
        <f>"janv-oct " &amp; année-1</f>
        <v>janv-oct 2018</v>
      </c>
      <c r="L14" s="87" t="str">
        <f>"janv-nov " &amp; année-1</f>
        <v>janv-nov 2018</v>
      </c>
      <c r="M14" s="87" t="str">
        <f>"janv-déc " &amp; année-1</f>
        <v>janv-déc 2018</v>
      </c>
    </row>
    <row r="15" spans="1:13" x14ac:dyDescent="0.25">
      <c r="A15" s="86" t="s">
        <v>53</v>
      </c>
      <c r="B15" s="145">
        <f>B6</f>
        <v>0</v>
      </c>
      <c r="C15" s="145" t="e">
        <f>AVERAGE(B6:C6)</f>
        <v>#DIV/0!</v>
      </c>
      <c r="D15" s="145" t="e">
        <f>AVERAGE(B6:D6)</f>
        <v>#DIV/0!</v>
      </c>
      <c r="E15" s="145" t="e">
        <f>AVERAGE(B6:E6)</f>
        <v>#DIV/0!</v>
      </c>
      <c r="F15" s="145" t="e">
        <f>AVERAGE(B6:F6)</f>
        <v>#DIV/0!</v>
      </c>
      <c r="G15" s="145" t="e">
        <f>AVERAGE(B6:G6)</f>
        <v>#DIV/0!</v>
      </c>
      <c r="H15" s="145" t="e">
        <f>AVERAGE(B6:H6)</f>
        <v>#DIV/0!</v>
      </c>
      <c r="I15" s="145" t="e">
        <f>AVERAGE(B6:I6)</f>
        <v>#DIV/0!</v>
      </c>
      <c r="J15" s="145" t="e">
        <f>AVERAGE(B6:J6)</f>
        <v>#DIV/0!</v>
      </c>
      <c r="K15" s="145" t="e">
        <f>AVERAGE(B6:K6)</f>
        <v>#DIV/0!</v>
      </c>
      <c r="L15" s="145" t="e">
        <f>AVERAGE(B6:L6)</f>
        <v>#DIV/0!</v>
      </c>
      <c r="M15" s="145" t="e">
        <f>AVERAGE(B6:M6)</f>
        <v>#DIV/0!</v>
      </c>
    </row>
    <row r="16" spans="1:13" x14ac:dyDescent="0.25">
      <c r="A16" s="86" t="s">
        <v>54</v>
      </c>
      <c r="B16" s="145">
        <f t="shared" ref="B16:B21" si="2">B7</f>
        <v>0</v>
      </c>
      <c r="C16" s="145">
        <f t="shared" ref="C16:C21" si="3">AVERAGE(B7:C7)</f>
        <v>0</v>
      </c>
      <c r="D16" s="145">
        <f t="shared" ref="D16:D21" si="4">AVERAGE(B7:D7)</f>
        <v>0</v>
      </c>
      <c r="E16" s="145">
        <f t="shared" ref="E16:E21" si="5">AVERAGE(B7:E7)</f>
        <v>0</v>
      </c>
      <c r="F16" s="145">
        <f t="shared" ref="F16:F21" si="6">AVERAGE(B7:F7)</f>
        <v>0</v>
      </c>
      <c r="G16" s="145">
        <f t="shared" ref="G16:G21" si="7">AVERAGE(B7:G7)</f>
        <v>0</v>
      </c>
      <c r="H16" s="145">
        <f t="shared" ref="H16:H21" si="8">AVERAGE(B7:H7)</f>
        <v>0</v>
      </c>
      <c r="I16" s="145">
        <f t="shared" ref="I16:I21" si="9">AVERAGE(B7:I7)</f>
        <v>0</v>
      </c>
      <c r="J16" s="145">
        <f t="shared" ref="J16:J21" si="10">AVERAGE(B7:J7)</f>
        <v>0</v>
      </c>
      <c r="K16" s="145">
        <f t="shared" ref="K16:K21" si="11">AVERAGE(B7:K7)</f>
        <v>0</v>
      </c>
      <c r="L16" s="145">
        <f t="shared" ref="L16:L21" si="12">AVERAGE(B7:L7)</f>
        <v>0</v>
      </c>
      <c r="M16" s="145">
        <f t="shared" ref="M16:M21" si="13">AVERAGE(B7:M7)</f>
        <v>0</v>
      </c>
    </row>
    <row r="17" spans="1:13" x14ac:dyDescent="0.25">
      <c r="A17" s="88" t="s">
        <v>57</v>
      </c>
      <c r="B17" s="145">
        <f t="shared" si="2"/>
        <v>0</v>
      </c>
      <c r="C17" s="145" t="e">
        <f t="shared" si="3"/>
        <v>#DIV/0!</v>
      </c>
      <c r="D17" s="145" t="e">
        <f t="shared" si="4"/>
        <v>#DIV/0!</v>
      </c>
      <c r="E17" s="145" t="e">
        <f t="shared" si="5"/>
        <v>#DIV/0!</v>
      </c>
      <c r="F17" s="145" t="e">
        <f t="shared" si="6"/>
        <v>#DIV/0!</v>
      </c>
      <c r="G17" s="145" t="e">
        <f t="shared" si="7"/>
        <v>#DIV/0!</v>
      </c>
      <c r="H17" s="145" t="e">
        <f t="shared" si="8"/>
        <v>#DIV/0!</v>
      </c>
      <c r="I17" s="145" t="e">
        <f t="shared" si="9"/>
        <v>#DIV/0!</v>
      </c>
      <c r="J17" s="145" t="e">
        <f t="shared" si="10"/>
        <v>#DIV/0!</v>
      </c>
      <c r="K17" s="145" t="e">
        <f t="shared" si="11"/>
        <v>#DIV/0!</v>
      </c>
      <c r="L17" s="145" t="e">
        <f t="shared" si="12"/>
        <v>#DIV/0!</v>
      </c>
      <c r="M17" s="145" t="e">
        <f t="shared" si="13"/>
        <v>#DIV/0!</v>
      </c>
    </row>
    <row r="18" spans="1:13" x14ac:dyDescent="0.25">
      <c r="A18" s="88" t="s">
        <v>56</v>
      </c>
      <c r="B18" s="145">
        <f t="shared" si="2"/>
        <v>0</v>
      </c>
      <c r="C18" s="145" t="e">
        <f t="shared" si="3"/>
        <v>#DIV/0!</v>
      </c>
      <c r="D18" s="145" t="e">
        <f t="shared" si="4"/>
        <v>#DIV/0!</v>
      </c>
      <c r="E18" s="145" t="e">
        <f t="shared" si="5"/>
        <v>#DIV/0!</v>
      </c>
      <c r="F18" s="145" t="e">
        <f t="shared" si="6"/>
        <v>#DIV/0!</v>
      </c>
      <c r="G18" s="145" t="e">
        <f t="shared" si="7"/>
        <v>#DIV/0!</v>
      </c>
      <c r="H18" s="145" t="e">
        <f t="shared" si="8"/>
        <v>#DIV/0!</v>
      </c>
      <c r="I18" s="145" t="e">
        <f t="shared" si="9"/>
        <v>#DIV/0!</v>
      </c>
      <c r="J18" s="145" t="e">
        <f t="shared" si="10"/>
        <v>#DIV/0!</v>
      </c>
      <c r="K18" s="145" t="e">
        <f t="shared" si="11"/>
        <v>#DIV/0!</v>
      </c>
      <c r="L18" s="145" t="e">
        <f t="shared" si="12"/>
        <v>#DIV/0!</v>
      </c>
      <c r="M18" s="145" t="e">
        <f t="shared" si="13"/>
        <v>#DIV/0!</v>
      </c>
    </row>
    <row r="19" spans="1:13" x14ac:dyDescent="0.25">
      <c r="A19" s="86" t="s">
        <v>55</v>
      </c>
      <c r="B19" s="145">
        <f t="shared" si="2"/>
        <v>0</v>
      </c>
      <c r="C19" s="145">
        <f t="shared" si="3"/>
        <v>0</v>
      </c>
      <c r="D19" s="145">
        <f t="shared" si="4"/>
        <v>0</v>
      </c>
      <c r="E19" s="145">
        <f t="shared" si="5"/>
        <v>0</v>
      </c>
      <c r="F19" s="145">
        <f t="shared" si="6"/>
        <v>0</v>
      </c>
      <c r="G19" s="145">
        <f t="shared" si="7"/>
        <v>0</v>
      </c>
      <c r="H19" s="145">
        <f t="shared" si="8"/>
        <v>0</v>
      </c>
      <c r="I19" s="145">
        <f t="shared" si="9"/>
        <v>0</v>
      </c>
      <c r="J19" s="145">
        <f t="shared" si="10"/>
        <v>0</v>
      </c>
      <c r="K19" s="145">
        <f t="shared" si="11"/>
        <v>0</v>
      </c>
      <c r="L19" s="145">
        <f t="shared" si="12"/>
        <v>0</v>
      </c>
      <c r="M19" s="145">
        <f t="shared" si="13"/>
        <v>0</v>
      </c>
    </row>
    <row r="20" spans="1:13" x14ac:dyDescent="0.25">
      <c r="A20" s="88" t="s">
        <v>57</v>
      </c>
      <c r="B20" s="145">
        <f t="shared" si="2"/>
        <v>0</v>
      </c>
      <c r="C20" s="145" t="e">
        <f t="shared" si="3"/>
        <v>#DIV/0!</v>
      </c>
      <c r="D20" s="145" t="e">
        <f t="shared" si="4"/>
        <v>#DIV/0!</v>
      </c>
      <c r="E20" s="145" t="e">
        <f t="shared" si="5"/>
        <v>#DIV/0!</v>
      </c>
      <c r="F20" s="145" t="e">
        <f t="shared" si="6"/>
        <v>#DIV/0!</v>
      </c>
      <c r="G20" s="145" t="e">
        <f t="shared" si="7"/>
        <v>#DIV/0!</v>
      </c>
      <c r="H20" s="145" t="e">
        <f t="shared" si="8"/>
        <v>#DIV/0!</v>
      </c>
      <c r="I20" s="145" t="e">
        <f t="shared" si="9"/>
        <v>#DIV/0!</v>
      </c>
      <c r="J20" s="145" t="e">
        <f t="shared" si="10"/>
        <v>#DIV/0!</v>
      </c>
      <c r="K20" s="145" t="e">
        <f t="shared" si="11"/>
        <v>#DIV/0!</v>
      </c>
      <c r="L20" s="145" t="e">
        <f t="shared" si="12"/>
        <v>#DIV/0!</v>
      </c>
      <c r="M20" s="145" t="e">
        <f t="shared" si="13"/>
        <v>#DIV/0!</v>
      </c>
    </row>
    <row r="21" spans="1:13" x14ac:dyDescent="0.25">
      <c r="A21" s="88" t="s">
        <v>56</v>
      </c>
      <c r="B21" s="145">
        <f t="shared" si="2"/>
        <v>0</v>
      </c>
      <c r="C21" s="145" t="e">
        <f t="shared" si="3"/>
        <v>#DIV/0!</v>
      </c>
      <c r="D21" s="145" t="e">
        <f t="shared" si="4"/>
        <v>#DIV/0!</v>
      </c>
      <c r="E21" s="145" t="e">
        <f t="shared" si="5"/>
        <v>#DIV/0!</v>
      </c>
      <c r="F21" s="145" t="e">
        <f t="shared" si="6"/>
        <v>#DIV/0!</v>
      </c>
      <c r="G21" s="145" t="e">
        <f t="shared" si="7"/>
        <v>#DIV/0!</v>
      </c>
      <c r="H21" s="145" t="e">
        <f t="shared" si="8"/>
        <v>#DIV/0!</v>
      </c>
      <c r="I21" s="145" t="e">
        <f t="shared" si="9"/>
        <v>#DIV/0!</v>
      </c>
      <c r="J21" s="145" t="e">
        <f t="shared" si="10"/>
        <v>#DIV/0!</v>
      </c>
      <c r="K21" s="145" t="e">
        <f t="shared" si="11"/>
        <v>#DIV/0!</v>
      </c>
      <c r="L21" s="145" t="e">
        <f t="shared" si="12"/>
        <v>#DIV/0!</v>
      </c>
      <c r="M21" s="145" t="e">
        <f t="shared" si="13"/>
        <v>#DIV/0!</v>
      </c>
    </row>
    <row r="22" spans="1:13" x14ac:dyDescent="0.25">
      <c r="A22" s="86"/>
      <c r="B22" s="86"/>
      <c r="C22" s="86"/>
      <c r="D22" s="86"/>
      <c r="E22" s="86"/>
      <c r="F22" s="86"/>
      <c r="G22" s="86"/>
      <c r="H22" s="86"/>
      <c r="I22" s="86"/>
      <c r="J22" s="86"/>
      <c r="K22" s="86"/>
      <c r="L22" s="86"/>
      <c r="M22" s="86"/>
    </row>
    <row r="23" spans="1:13" x14ac:dyDescent="0.25">
      <c r="A23" s="86"/>
      <c r="B23" s="86"/>
      <c r="C23" s="86"/>
      <c r="D23" s="86"/>
      <c r="E23" s="86"/>
      <c r="F23" s="86"/>
      <c r="G23" s="86"/>
      <c r="H23" s="86"/>
      <c r="I23" s="86"/>
      <c r="J23" s="86"/>
      <c r="K23" s="86"/>
      <c r="L23" s="86"/>
      <c r="M23" s="86"/>
    </row>
    <row r="24" spans="1:13" ht="33" customHeight="1" x14ac:dyDescent="0.25">
      <c r="A24" s="227" t="str">
        <f>"Masse salariale "&amp;année-1</f>
        <v>Masse salariale 2018</v>
      </c>
      <c r="B24" s="227"/>
      <c r="C24" s="227"/>
      <c r="D24" s="227"/>
      <c r="E24" s="227"/>
      <c r="F24" s="227"/>
      <c r="G24" s="227"/>
      <c r="H24" s="227"/>
      <c r="I24" s="227"/>
      <c r="J24" s="227"/>
      <c r="K24" s="227"/>
      <c r="L24" s="227"/>
      <c r="M24" s="227"/>
    </row>
    <row r="25" spans="1:13" x14ac:dyDescent="0.25">
      <c r="A25" s="86"/>
      <c r="B25" s="86"/>
      <c r="C25" s="86"/>
      <c r="D25" s="86"/>
      <c r="E25" s="86"/>
      <c r="F25" s="86"/>
      <c r="G25" s="86"/>
      <c r="H25" s="86"/>
      <c r="I25" s="86"/>
      <c r="J25" s="86"/>
      <c r="K25" s="86"/>
      <c r="L25" s="86"/>
      <c r="M25" s="86"/>
    </row>
    <row r="26" spans="1:13" x14ac:dyDescent="0.25">
      <c r="A26" s="89" t="s">
        <v>61</v>
      </c>
      <c r="B26" s="87" t="str">
        <f>B5</f>
        <v>janv 2018</v>
      </c>
      <c r="C26" s="87" t="str">
        <f t="shared" ref="C26:M26" si="14">C5</f>
        <v>fév 2018</v>
      </c>
      <c r="D26" s="87" t="str">
        <f t="shared" si="14"/>
        <v>mars 2018</v>
      </c>
      <c r="E26" s="87" t="str">
        <f t="shared" si="14"/>
        <v>avril 2018</v>
      </c>
      <c r="F26" s="87" t="str">
        <f t="shared" si="14"/>
        <v>mai 2018</v>
      </c>
      <c r="G26" s="87" t="str">
        <f t="shared" si="14"/>
        <v>juin 2018</v>
      </c>
      <c r="H26" s="87" t="str">
        <f t="shared" si="14"/>
        <v>juil 2018</v>
      </c>
      <c r="I26" s="87" t="str">
        <f t="shared" si="14"/>
        <v>août 2018</v>
      </c>
      <c r="J26" s="87" t="str">
        <f t="shared" si="14"/>
        <v>sept 2018</v>
      </c>
      <c r="K26" s="87" t="str">
        <f t="shared" si="14"/>
        <v>oct 2018</v>
      </c>
      <c r="L26" s="87" t="str">
        <f t="shared" si="14"/>
        <v>nov 2018</v>
      </c>
      <c r="M26" s="87" t="str">
        <f t="shared" si="14"/>
        <v>déc 2018</v>
      </c>
    </row>
    <row r="27" spans="1:13" ht="30" x14ac:dyDescent="0.25">
      <c r="A27" s="86" t="s">
        <v>102</v>
      </c>
      <c r="B27" s="116"/>
      <c r="C27" s="116"/>
      <c r="D27" s="116"/>
      <c r="E27" s="116"/>
      <c r="F27" s="116"/>
      <c r="G27" s="116"/>
      <c r="H27" s="116"/>
      <c r="I27" s="116"/>
      <c r="J27" s="116"/>
      <c r="K27" s="116"/>
      <c r="L27" s="116"/>
      <c r="M27" s="116"/>
    </row>
    <row r="28" spans="1:13" x14ac:dyDescent="0.25">
      <c r="A28" s="91" t="s">
        <v>103</v>
      </c>
      <c r="B28" s="116"/>
      <c r="C28" s="116"/>
      <c r="D28" s="116"/>
      <c r="E28" s="116"/>
      <c r="F28" s="116"/>
      <c r="G28" s="116"/>
      <c r="H28" s="116"/>
      <c r="I28" s="116"/>
      <c r="J28" s="116"/>
      <c r="K28" s="116"/>
      <c r="L28" s="116"/>
      <c r="M28" s="116"/>
    </row>
    <row r="29" spans="1:13" ht="45" x14ac:dyDescent="0.25">
      <c r="A29" s="86" t="s">
        <v>72</v>
      </c>
      <c r="B29" s="116"/>
      <c r="C29" s="116"/>
      <c r="D29" s="116"/>
      <c r="E29" s="116"/>
      <c r="F29" s="116"/>
      <c r="G29" s="116"/>
      <c r="H29" s="116"/>
      <c r="I29" s="116"/>
      <c r="J29" s="116"/>
      <c r="K29" s="116"/>
      <c r="L29" s="116"/>
      <c r="M29" s="116"/>
    </row>
    <row r="30" spans="1:13" ht="30" x14ac:dyDescent="0.25">
      <c r="A30" s="86" t="s">
        <v>73</v>
      </c>
      <c r="B30" s="116"/>
      <c r="C30" s="116"/>
      <c r="D30" s="116"/>
      <c r="E30" s="116"/>
      <c r="F30" s="116"/>
      <c r="G30" s="116"/>
      <c r="H30" s="116"/>
      <c r="I30" s="116"/>
      <c r="J30" s="116"/>
      <c r="K30" s="116"/>
      <c r="L30" s="116"/>
      <c r="M30" s="116"/>
    </row>
    <row r="31" spans="1:13" ht="30" x14ac:dyDescent="0.25">
      <c r="A31" s="86" t="s">
        <v>74</v>
      </c>
      <c r="B31" s="116"/>
      <c r="C31" s="116"/>
      <c r="D31" s="116"/>
      <c r="E31" s="116"/>
      <c r="F31" s="116"/>
      <c r="G31" s="116"/>
      <c r="H31" s="116"/>
      <c r="I31" s="116"/>
      <c r="J31" s="116"/>
      <c r="K31" s="116"/>
      <c r="L31" s="116"/>
      <c r="M31" s="116"/>
    </row>
    <row r="32" spans="1:13" ht="45" x14ac:dyDescent="0.25">
      <c r="A32" s="86" t="s">
        <v>75</v>
      </c>
      <c r="B32" s="116"/>
      <c r="C32" s="116"/>
      <c r="D32" s="116"/>
      <c r="E32" s="116"/>
      <c r="F32" s="116"/>
      <c r="G32" s="116"/>
      <c r="H32" s="116"/>
      <c r="I32" s="116"/>
      <c r="J32" s="116"/>
      <c r="K32" s="116"/>
      <c r="L32" s="116"/>
      <c r="M32" s="116"/>
    </row>
    <row r="33" spans="1:13" x14ac:dyDescent="0.25">
      <c r="A33" s="86"/>
      <c r="B33" s="86"/>
      <c r="C33" s="86"/>
      <c r="D33" s="86"/>
      <c r="E33" s="86"/>
      <c r="F33" s="86"/>
      <c r="G33" s="86"/>
      <c r="H33" s="86"/>
      <c r="I33" s="86"/>
      <c r="J33" s="86"/>
      <c r="K33" s="86"/>
      <c r="L33" s="86"/>
      <c r="M33" s="86"/>
    </row>
    <row r="34" spans="1:13" ht="35.25" customHeight="1" x14ac:dyDescent="0.25">
      <c r="A34" s="89" t="s">
        <v>63</v>
      </c>
      <c r="B34" s="87" t="str">
        <f>B14</f>
        <v>janv 2018</v>
      </c>
      <c r="C34" s="87" t="str">
        <f t="shared" ref="C34:M34" si="15">C14</f>
        <v>janv-fév 2018</v>
      </c>
      <c r="D34" s="87" t="str">
        <f t="shared" si="15"/>
        <v>janv-mars 2018</v>
      </c>
      <c r="E34" s="87" t="str">
        <f t="shared" si="15"/>
        <v>janv-avril 2018</v>
      </c>
      <c r="F34" s="87" t="str">
        <f t="shared" si="15"/>
        <v>janv-mai 2018</v>
      </c>
      <c r="G34" s="87" t="str">
        <f t="shared" si="15"/>
        <v>janv-juin 2018</v>
      </c>
      <c r="H34" s="87" t="str">
        <f t="shared" si="15"/>
        <v>janv-juil 2018</v>
      </c>
      <c r="I34" s="87" t="str">
        <f t="shared" si="15"/>
        <v>janv-août 2018</v>
      </c>
      <c r="J34" s="87" t="str">
        <f t="shared" si="15"/>
        <v>janv-sept 2018</v>
      </c>
      <c r="K34" s="87" t="str">
        <f t="shared" si="15"/>
        <v>janv-oct 2018</v>
      </c>
      <c r="L34" s="87" t="str">
        <f t="shared" si="15"/>
        <v>janv-nov 2018</v>
      </c>
      <c r="M34" s="87" t="str">
        <f t="shared" si="15"/>
        <v>janv-déc 2018</v>
      </c>
    </row>
    <row r="35" spans="1:13" ht="30" x14ac:dyDescent="0.25">
      <c r="A35" s="86" t="s">
        <v>102</v>
      </c>
      <c r="B35" s="90">
        <f t="shared" ref="B35:B40" si="16">B27</f>
        <v>0</v>
      </c>
      <c r="C35" s="90">
        <f t="shared" ref="C35:C40" si="17">B27+C27</f>
        <v>0</v>
      </c>
      <c r="D35" s="90">
        <f t="shared" ref="D35:D40" si="18">SUM(B27:D27)</f>
        <v>0</v>
      </c>
      <c r="E35" s="90">
        <f t="shared" ref="E35:E40" si="19">SUM(B27:E27)</f>
        <v>0</v>
      </c>
      <c r="F35" s="90">
        <f t="shared" ref="F35:F40" si="20">SUM(B27:F27)</f>
        <v>0</v>
      </c>
      <c r="G35" s="90">
        <f t="shared" ref="G35:G40" si="21">SUM(B27:G27)</f>
        <v>0</v>
      </c>
      <c r="H35" s="90">
        <f t="shared" ref="H35:H40" si="22">SUM(B27:H27)</f>
        <v>0</v>
      </c>
      <c r="I35" s="90">
        <f t="shared" ref="I35:I40" si="23">SUM(B27:I27)</f>
        <v>0</v>
      </c>
      <c r="J35" s="90">
        <f t="shared" ref="J35:J40" si="24">SUM(B27:J27)</f>
        <v>0</v>
      </c>
      <c r="K35" s="90">
        <f t="shared" ref="K35:K40" si="25">SUM(B27:K27)</f>
        <v>0</v>
      </c>
      <c r="L35" s="90">
        <f t="shared" ref="L35:L40" si="26">SUM(B27:L27)</f>
        <v>0</v>
      </c>
      <c r="M35" s="90">
        <f t="shared" ref="M35:M40" si="27">SUM(B27:M27)</f>
        <v>0</v>
      </c>
    </row>
    <row r="36" spans="1:13" x14ac:dyDescent="0.25">
      <c r="A36" s="91" t="s">
        <v>103</v>
      </c>
      <c r="B36" s="90">
        <f t="shared" si="16"/>
        <v>0</v>
      </c>
      <c r="C36" s="90">
        <f t="shared" si="17"/>
        <v>0</v>
      </c>
      <c r="D36" s="90">
        <f t="shared" si="18"/>
        <v>0</v>
      </c>
      <c r="E36" s="90">
        <f t="shared" si="19"/>
        <v>0</v>
      </c>
      <c r="F36" s="90">
        <f t="shared" si="20"/>
        <v>0</v>
      </c>
      <c r="G36" s="90">
        <f t="shared" si="21"/>
        <v>0</v>
      </c>
      <c r="H36" s="90">
        <f t="shared" si="22"/>
        <v>0</v>
      </c>
      <c r="I36" s="90">
        <f t="shared" si="23"/>
        <v>0</v>
      </c>
      <c r="J36" s="90">
        <f t="shared" si="24"/>
        <v>0</v>
      </c>
      <c r="K36" s="90">
        <f t="shared" si="25"/>
        <v>0</v>
      </c>
      <c r="L36" s="90">
        <f t="shared" si="26"/>
        <v>0</v>
      </c>
      <c r="M36" s="90">
        <f t="shared" si="27"/>
        <v>0</v>
      </c>
    </row>
    <row r="37" spans="1:13" ht="45" x14ac:dyDescent="0.25">
      <c r="A37" s="86" t="s">
        <v>72</v>
      </c>
      <c r="B37" s="90">
        <f t="shared" si="16"/>
        <v>0</v>
      </c>
      <c r="C37" s="90">
        <f t="shared" si="17"/>
        <v>0</v>
      </c>
      <c r="D37" s="90">
        <f t="shared" si="18"/>
        <v>0</v>
      </c>
      <c r="E37" s="90">
        <f t="shared" si="19"/>
        <v>0</v>
      </c>
      <c r="F37" s="90">
        <f t="shared" si="20"/>
        <v>0</v>
      </c>
      <c r="G37" s="90">
        <f t="shared" si="21"/>
        <v>0</v>
      </c>
      <c r="H37" s="90">
        <f t="shared" si="22"/>
        <v>0</v>
      </c>
      <c r="I37" s="90">
        <f t="shared" si="23"/>
        <v>0</v>
      </c>
      <c r="J37" s="90">
        <f t="shared" si="24"/>
        <v>0</v>
      </c>
      <c r="K37" s="90">
        <f t="shared" si="25"/>
        <v>0</v>
      </c>
      <c r="L37" s="90">
        <f t="shared" si="26"/>
        <v>0</v>
      </c>
      <c r="M37" s="90">
        <f t="shared" si="27"/>
        <v>0</v>
      </c>
    </row>
    <row r="38" spans="1:13" ht="30" x14ac:dyDescent="0.25">
      <c r="A38" s="86" t="s">
        <v>73</v>
      </c>
      <c r="B38" s="90">
        <f t="shared" si="16"/>
        <v>0</v>
      </c>
      <c r="C38" s="90">
        <f t="shared" si="17"/>
        <v>0</v>
      </c>
      <c r="D38" s="90">
        <f t="shared" si="18"/>
        <v>0</v>
      </c>
      <c r="E38" s="90">
        <f t="shared" si="19"/>
        <v>0</v>
      </c>
      <c r="F38" s="90">
        <f t="shared" si="20"/>
        <v>0</v>
      </c>
      <c r="G38" s="90">
        <f t="shared" si="21"/>
        <v>0</v>
      </c>
      <c r="H38" s="90">
        <f t="shared" si="22"/>
        <v>0</v>
      </c>
      <c r="I38" s="90">
        <f t="shared" si="23"/>
        <v>0</v>
      </c>
      <c r="J38" s="90">
        <f t="shared" si="24"/>
        <v>0</v>
      </c>
      <c r="K38" s="90">
        <f t="shared" si="25"/>
        <v>0</v>
      </c>
      <c r="L38" s="90">
        <f t="shared" si="26"/>
        <v>0</v>
      </c>
      <c r="M38" s="90">
        <f t="shared" si="27"/>
        <v>0</v>
      </c>
    </row>
    <row r="39" spans="1:13" ht="30" x14ac:dyDescent="0.25">
      <c r="A39" s="86" t="s">
        <v>74</v>
      </c>
      <c r="B39" s="90">
        <f t="shared" si="16"/>
        <v>0</v>
      </c>
      <c r="C39" s="90">
        <f t="shared" si="17"/>
        <v>0</v>
      </c>
      <c r="D39" s="90">
        <f t="shared" si="18"/>
        <v>0</v>
      </c>
      <c r="E39" s="90">
        <f t="shared" si="19"/>
        <v>0</v>
      </c>
      <c r="F39" s="90">
        <f t="shared" si="20"/>
        <v>0</v>
      </c>
      <c r="G39" s="90">
        <f t="shared" si="21"/>
        <v>0</v>
      </c>
      <c r="H39" s="90">
        <f t="shared" si="22"/>
        <v>0</v>
      </c>
      <c r="I39" s="90">
        <f t="shared" si="23"/>
        <v>0</v>
      </c>
      <c r="J39" s="90">
        <f t="shared" si="24"/>
        <v>0</v>
      </c>
      <c r="K39" s="90">
        <f t="shared" si="25"/>
        <v>0</v>
      </c>
      <c r="L39" s="90">
        <f t="shared" si="26"/>
        <v>0</v>
      </c>
      <c r="M39" s="90">
        <f t="shared" si="27"/>
        <v>0</v>
      </c>
    </row>
    <row r="40" spans="1:13" ht="45" x14ac:dyDescent="0.25">
      <c r="A40" s="86" t="s">
        <v>75</v>
      </c>
      <c r="B40" s="90">
        <f t="shared" si="16"/>
        <v>0</v>
      </c>
      <c r="C40" s="90">
        <f t="shared" si="17"/>
        <v>0</v>
      </c>
      <c r="D40" s="90">
        <f t="shared" si="18"/>
        <v>0</v>
      </c>
      <c r="E40" s="90">
        <f t="shared" si="19"/>
        <v>0</v>
      </c>
      <c r="F40" s="90">
        <f t="shared" si="20"/>
        <v>0</v>
      </c>
      <c r="G40" s="90">
        <f t="shared" si="21"/>
        <v>0</v>
      </c>
      <c r="H40" s="90">
        <f t="shared" si="22"/>
        <v>0</v>
      </c>
      <c r="I40" s="90">
        <f t="shared" si="23"/>
        <v>0</v>
      </c>
      <c r="J40" s="90">
        <f t="shared" si="24"/>
        <v>0</v>
      </c>
      <c r="K40" s="90">
        <f t="shared" si="25"/>
        <v>0</v>
      </c>
      <c r="L40" s="90">
        <f t="shared" si="26"/>
        <v>0</v>
      </c>
      <c r="M40" s="90">
        <f t="shared" si="27"/>
        <v>0</v>
      </c>
    </row>
    <row r="41" spans="1:13" x14ac:dyDescent="0.25">
      <c r="A41" s="86"/>
      <c r="B41" s="86"/>
      <c r="C41" s="86"/>
      <c r="D41" s="86"/>
      <c r="E41" s="86"/>
      <c r="F41" s="86"/>
      <c r="G41" s="86"/>
      <c r="H41" s="86"/>
      <c r="I41" s="86"/>
      <c r="J41" s="86"/>
      <c r="K41" s="86"/>
      <c r="L41" s="86"/>
      <c r="M41" s="86"/>
    </row>
    <row r="42" spans="1:13" ht="34.5" customHeight="1" x14ac:dyDescent="0.25">
      <c r="A42" s="228" t="str">
        <f>"Activité "&amp;année-1</f>
        <v>Activité 2018</v>
      </c>
      <c r="B42" s="228"/>
      <c r="C42" s="228"/>
      <c r="D42" s="228"/>
      <c r="E42" s="228"/>
      <c r="F42" s="228"/>
      <c r="G42" s="228"/>
      <c r="H42" s="228"/>
      <c r="I42" s="228"/>
      <c r="J42" s="228"/>
      <c r="K42" s="228"/>
      <c r="L42" s="228"/>
      <c r="M42" s="228"/>
    </row>
    <row r="43" spans="1:13" x14ac:dyDescent="0.25">
      <c r="A43" s="87"/>
      <c r="B43" s="86"/>
      <c r="C43" s="86"/>
      <c r="D43" s="86"/>
      <c r="E43" s="86"/>
      <c r="F43" s="86"/>
      <c r="G43" s="86"/>
      <c r="H43" s="86"/>
      <c r="I43" s="86"/>
      <c r="J43" s="86"/>
      <c r="K43" s="86"/>
      <c r="L43" s="86"/>
      <c r="M43" s="86"/>
    </row>
    <row r="44" spans="1:13" x14ac:dyDescent="0.25">
      <c r="A44" s="89" t="s">
        <v>61</v>
      </c>
      <c r="B44" s="86" t="str">
        <f>B26</f>
        <v>janv 2018</v>
      </c>
      <c r="C44" s="86" t="str">
        <f t="shared" ref="C44:M44" si="28">C26</f>
        <v>fév 2018</v>
      </c>
      <c r="D44" s="86" t="str">
        <f t="shared" si="28"/>
        <v>mars 2018</v>
      </c>
      <c r="E44" s="86" t="str">
        <f t="shared" si="28"/>
        <v>avril 2018</v>
      </c>
      <c r="F44" s="86" t="str">
        <f t="shared" si="28"/>
        <v>mai 2018</v>
      </c>
      <c r="G44" s="86" t="str">
        <f t="shared" si="28"/>
        <v>juin 2018</v>
      </c>
      <c r="H44" s="86" t="str">
        <f t="shared" si="28"/>
        <v>juil 2018</v>
      </c>
      <c r="I44" s="86" t="str">
        <f t="shared" si="28"/>
        <v>août 2018</v>
      </c>
      <c r="J44" s="86" t="str">
        <f t="shared" si="28"/>
        <v>sept 2018</v>
      </c>
      <c r="K44" s="86" t="str">
        <f t="shared" si="28"/>
        <v>oct 2018</v>
      </c>
      <c r="L44" s="86" t="str">
        <f t="shared" si="28"/>
        <v>nov 2018</v>
      </c>
      <c r="M44" s="86" t="str">
        <f t="shared" si="28"/>
        <v>déc 2018</v>
      </c>
    </row>
    <row r="45" spans="1:13" x14ac:dyDescent="0.25">
      <c r="A45" s="86" t="s">
        <v>23</v>
      </c>
      <c r="B45" s="90">
        <f>B46+B47</f>
        <v>0</v>
      </c>
      <c r="C45" s="90">
        <f t="shared" ref="C45:M45" si="29">C46+C47</f>
        <v>0</v>
      </c>
      <c r="D45" s="90">
        <f t="shared" si="29"/>
        <v>0</v>
      </c>
      <c r="E45" s="90">
        <f t="shared" si="29"/>
        <v>0</v>
      </c>
      <c r="F45" s="90">
        <f t="shared" si="29"/>
        <v>0</v>
      </c>
      <c r="G45" s="90">
        <f t="shared" si="29"/>
        <v>0</v>
      </c>
      <c r="H45" s="90">
        <f t="shared" si="29"/>
        <v>0</v>
      </c>
      <c r="I45" s="90">
        <f t="shared" si="29"/>
        <v>0</v>
      </c>
      <c r="J45" s="90">
        <f t="shared" si="29"/>
        <v>0</v>
      </c>
      <c r="K45" s="90">
        <f t="shared" si="29"/>
        <v>0</v>
      </c>
      <c r="L45" s="90">
        <f t="shared" si="29"/>
        <v>0</v>
      </c>
      <c r="M45" s="90">
        <f t="shared" si="29"/>
        <v>0</v>
      </c>
    </row>
    <row r="46" spans="1:13" ht="30" x14ac:dyDescent="0.25">
      <c r="A46" s="88" t="s">
        <v>19</v>
      </c>
      <c r="B46" s="116"/>
      <c r="C46" s="116"/>
      <c r="D46" s="116"/>
      <c r="E46" s="116"/>
      <c r="F46" s="116"/>
      <c r="G46" s="116"/>
      <c r="H46" s="116"/>
      <c r="I46" s="116"/>
      <c r="J46" s="116"/>
      <c r="K46" s="116"/>
      <c r="L46" s="116"/>
      <c r="M46" s="116"/>
    </row>
    <row r="47" spans="1:13" ht="30" x14ac:dyDescent="0.25">
      <c r="A47" s="88" t="s">
        <v>48</v>
      </c>
      <c r="B47" s="116"/>
      <c r="C47" s="116"/>
      <c r="D47" s="116"/>
      <c r="E47" s="116"/>
      <c r="F47" s="116"/>
      <c r="G47" s="116"/>
      <c r="H47" s="116"/>
      <c r="I47" s="116"/>
      <c r="J47" s="116"/>
      <c r="K47" s="116"/>
      <c r="L47" s="116"/>
      <c r="M47" s="116"/>
    </row>
    <row r="48" spans="1:13" x14ac:dyDescent="0.25">
      <c r="A48" s="86" t="s">
        <v>15</v>
      </c>
      <c r="B48" s="90">
        <f>B49+B50</f>
        <v>0</v>
      </c>
      <c r="C48" s="90">
        <f t="shared" ref="C48:M48" si="30">C49+C50</f>
        <v>0</v>
      </c>
      <c r="D48" s="90">
        <f t="shared" si="30"/>
        <v>0</v>
      </c>
      <c r="E48" s="90">
        <f t="shared" si="30"/>
        <v>0</v>
      </c>
      <c r="F48" s="90">
        <f t="shared" si="30"/>
        <v>0</v>
      </c>
      <c r="G48" s="90">
        <f t="shared" si="30"/>
        <v>0</v>
      </c>
      <c r="H48" s="90">
        <f t="shared" si="30"/>
        <v>0</v>
      </c>
      <c r="I48" s="90">
        <f t="shared" si="30"/>
        <v>0</v>
      </c>
      <c r="J48" s="90">
        <f t="shared" si="30"/>
        <v>0</v>
      </c>
      <c r="K48" s="90">
        <f t="shared" si="30"/>
        <v>0</v>
      </c>
      <c r="L48" s="90">
        <f t="shared" si="30"/>
        <v>0</v>
      </c>
      <c r="M48" s="90">
        <f t="shared" si="30"/>
        <v>0</v>
      </c>
    </row>
    <row r="49" spans="1:13" x14ac:dyDescent="0.25">
      <c r="A49" s="88" t="s">
        <v>18</v>
      </c>
      <c r="B49" s="116"/>
      <c r="C49" s="116"/>
      <c r="D49" s="116"/>
      <c r="E49" s="116"/>
      <c r="F49" s="116"/>
      <c r="G49" s="116"/>
      <c r="H49" s="116"/>
      <c r="I49" s="116"/>
      <c r="J49" s="116"/>
      <c r="K49" s="116"/>
      <c r="L49" s="116"/>
      <c r="M49" s="116"/>
    </row>
    <row r="50" spans="1:13" ht="30" x14ac:dyDescent="0.25">
      <c r="A50" s="88" t="s">
        <v>19</v>
      </c>
      <c r="B50" s="116"/>
      <c r="C50" s="116"/>
      <c r="D50" s="116"/>
      <c r="E50" s="116"/>
      <c r="F50" s="116"/>
      <c r="G50" s="116"/>
      <c r="H50" s="116"/>
      <c r="I50" s="116"/>
      <c r="J50" s="116"/>
      <c r="K50" s="116"/>
      <c r="L50" s="116"/>
      <c r="M50" s="116"/>
    </row>
    <row r="51" spans="1:13" x14ac:dyDescent="0.25">
      <c r="A51" s="86" t="s">
        <v>16</v>
      </c>
      <c r="B51" s="90">
        <f>B52+B53</f>
        <v>0</v>
      </c>
      <c r="C51" s="90">
        <f t="shared" ref="C51:M51" si="31">C52+C53</f>
        <v>0</v>
      </c>
      <c r="D51" s="90">
        <f t="shared" si="31"/>
        <v>0</v>
      </c>
      <c r="E51" s="90">
        <f t="shared" si="31"/>
        <v>0</v>
      </c>
      <c r="F51" s="90">
        <f t="shared" si="31"/>
        <v>0</v>
      </c>
      <c r="G51" s="90">
        <f t="shared" si="31"/>
        <v>0</v>
      </c>
      <c r="H51" s="90">
        <f t="shared" si="31"/>
        <v>0</v>
      </c>
      <c r="I51" s="90">
        <f t="shared" si="31"/>
        <v>0</v>
      </c>
      <c r="J51" s="90">
        <f t="shared" si="31"/>
        <v>0</v>
      </c>
      <c r="K51" s="90">
        <f t="shared" si="31"/>
        <v>0</v>
      </c>
      <c r="L51" s="90">
        <f t="shared" si="31"/>
        <v>0</v>
      </c>
      <c r="M51" s="90">
        <f t="shared" si="31"/>
        <v>0</v>
      </c>
    </row>
    <row r="52" spans="1:13" x14ac:dyDescent="0.25">
      <c r="A52" s="88" t="s">
        <v>20</v>
      </c>
      <c r="B52" s="116"/>
      <c r="C52" s="116"/>
      <c r="D52" s="116"/>
      <c r="E52" s="116"/>
      <c r="F52" s="116"/>
      <c r="G52" s="116"/>
      <c r="H52" s="116"/>
      <c r="I52" s="116"/>
      <c r="J52" s="116"/>
      <c r="K52" s="116"/>
      <c r="L52" s="116"/>
      <c r="M52" s="116"/>
    </row>
    <row r="53" spans="1:13" ht="30" x14ac:dyDescent="0.25">
      <c r="A53" s="88" t="s">
        <v>19</v>
      </c>
      <c r="B53" s="116"/>
      <c r="C53" s="116"/>
      <c r="D53" s="116"/>
      <c r="E53" s="116"/>
      <c r="F53" s="116"/>
      <c r="G53" s="116"/>
      <c r="H53" s="116"/>
      <c r="I53" s="116"/>
      <c r="J53" s="116"/>
      <c r="K53" s="116"/>
      <c r="L53" s="116"/>
      <c r="M53" s="116"/>
    </row>
    <row r="54" spans="1:13" x14ac:dyDescent="0.25">
      <c r="A54" s="86" t="s">
        <v>17</v>
      </c>
      <c r="B54" s="116"/>
      <c r="C54" s="116"/>
      <c r="D54" s="116"/>
      <c r="E54" s="116"/>
      <c r="F54" s="116"/>
      <c r="G54" s="116"/>
      <c r="H54" s="116"/>
      <c r="I54" s="116"/>
      <c r="J54" s="116"/>
      <c r="K54" s="116"/>
      <c r="L54" s="116"/>
      <c r="M54" s="116"/>
    </row>
    <row r="55" spans="1:13" x14ac:dyDescent="0.25">
      <c r="A55" s="88" t="s">
        <v>24</v>
      </c>
      <c r="B55" s="116"/>
      <c r="C55" s="116"/>
      <c r="D55" s="116"/>
      <c r="E55" s="116"/>
      <c r="F55" s="116"/>
      <c r="G55" s="116"/>
      <c r="H55" s="116"/>
      <c r="I55" s="116"/>
      <c r="J55" s="116"/>
      <c r="K55" s="116"/>
      <c r="L55" s="116"/>
      <c r="M55" s="116"/>
    </row>
    <row r="56" spans="1:13" x14ac:dyDescent="0.25">
      <c r="A56" s="86" t="s">
        <v>25</v>
      </c>
      <c r="B56" s="116"/>
      <c r="C56" s="116"/>
      <c r="D56" s="116"/>
      <c r="E56" s="116"/>
      <c r="F56" s="116"/>
      <c r="G56" s="116"/>
      <c r="H56" s="116"/>
      <c r="I56" s="116"/>
      <c r="J56" s="116"/>
      <c r="K56" s="116"/>
      <c r="L56" s="116"/>
      <c r="M56" s="116"/>
    </row>
    <row r="57" spans="1:13" x14ac:dyDescent="0.25">
      <c r="A57" s="86"/>
      <c r="B57" s="86"/>
      <c r="C57" s="86"/>
      <c r="D57" s="86"/>
      <c r="E57" s="86"/>
      <c r="F57" s="86"/>
      <c r="G57" s="86"/>
      <c r="H57" s="86"/>
      <c r="I57" s="86"/>
      <c r="J57" s="86"/>
      <c r="K57" s="86"/>
      <c r="L57" s="86"/>
      <c r="M57" s="86"/>
    </row>
    <row r="58" spans="1:13" ht="35.25" customHeight="1" x14ac:dyDescent="0.25">
      <c r="A58" s="89" t="s">
        <v>63</v>
      </c>
      <c r="B58" s="87" t="str">
        <f>B34</f>
        <v>janv 2018</v>
      </c>
      <c r="C58" s="87" t="str">
        <f t="shared" ref="C58:M58" si="32">C34</f>
        <v>janv-fév 2018</v>
      </c>
      <c r="D58" s="87" t="str">
        <f t="shared" si="32"/>
        <v>janv-mars 2018</v>
      </c>
      <c r="E58" s="87" t="str">
        <f t="shared" si="32"/>
        <v>janv-avril 2018</v>
      </c>
      <c r="F58" s="87" t="str">
        <f t="shared" si="32"/>
        <v>janv-mai 2018</v>
      </c>
      <c r="G58" s="87" t="str">
        <f t="shared" si="32"/>
        <v>janv-juin 2018</v>
      </c>
      <c r="H58" s="87" t="str">
        <f t="shared" si="32"/>
        <v>janv-juil 2018</v>
      </c>
      <c r="I58" s="87" t="str">
        <f t="shared" si="32"/>
        <v>janv-août 2018</v>
      </c>
      <c r="J58" s="87" t="str">
        <f t="shared" si="32"/>
        <v>janv-sept 2018</v>
      </c>
      <c r="K58" s="87" t="str">
        <f t="shared" si="32"/>
        <v>janv-oct 2018</v>
      </c>
      <c r="L58" s="87" t="str">
        <f t="shared" si="32"/>
        <v>janv-nov 2018</v>
      </c>
      <c r="M58" s="87" t="str">
        <f t="shared" si="32"/>
        <v>janv-déc 2018</v>
      </c>
    </row>
    <row r="59" spans="1:13" x14ac:dyDescent="0.25">
      <c r="A59" s="86" t="s">
        <v>23</v>
      </c>
      <c r="B59" s="90">
        <f>B45</f>
        <v>0</v>
      </c>
      <c r="C59" s="90">
        <f>C45+B45</f>
        <v>0</v>
      </c>
      <c r="D59" s="90">
        <f>SUM(B45:D45)</f>
        <v>0</v>
      </c>
      <c r="E59" s="90">
        <f>SUM(B45:E45)</f>
        <v>0</v>
      </c>
      <c r="F59" s="90">
        <f>SUM(B45:F45)</f>
        <v>0</v>
      </c>
      <c r="G59" s="90">
        <f>SUM(B45:G45)</f>
        <v>0</v>
      </c>
      <c r="H59" s="90">
        <f>SUM(B45:H45)</f>
        <v>0</v>
      </c>
      <c r="I59" s="90">
        <f>SUM(B45:I45)</f>
        <v>0</v>
      </c>
      <c r="J59" s="90">
        <f>SUM(B45:J45)</f>
        <v>0</v>
      </c>
      <c r="K59" s="90">
        <f>SUM(B45:K45)</f>
        <v>0</v>
      </c>
      <c r="L59" s="90">
        <f>SUM(B45:L45)</f>
        <v>0</v>
      </c>
      <c r="M59" s="90">
        <f>SUM(B45:M45)</f>
        <v>0</v>
      </c>
    </row>
    <row r="60" spans="1:13" ht="30" x14ac:dyDescent="0.25">
      <c r="A60" s="88" t="s">
        <v>19</v>
      </c>
      <c r="B60" s="90">
        <f t="shared" ref="B60:B70" si="33">B46</f>
        <v>0</v>
      </c>
      <c r="C60" s="90">
        <f t="shared" ref="C60:C70" si="34">C46+B46</f>
        <v>0</v>
      </c>
      <c r="D60" s="90">
        <f t="shared" ref="D60:D70" si="35">SUM(B46:D46)</f>
        <v>0</v>
      </c>
      <c r="E60" s="90">
        <f t="shared" ref="E60:E70" si="36">SUM(B46:E46)</f>
        <v>0</v>
      </c>
      <c r="F60" s="90">
        <f t="shared" ref="F60:F70" si="37">SUM(B46:F46)</f>
        <v>0</v>
      </c>
      <c r="G60" s="90">
        <f t="shared" ref="G60:G70" si="38">SUM(B46:G46)</f>
        <v>0</v>
      </c>
      <c r="H60" s="90">
        <f t="shared" ref="H60:H70" si="39">SUM(B46:H46)</f>
        <v>0</v>
      </c>
      <c r="I60" s="90">
        <f t="shared" ref="I60:I70" si="40">SUM(B46:I46)</f>
        <v>0</v>
      </c>
      <c r="J60" s="90">
        <f t="shared" ref="J60:J70" si="41">SUM(B46:J46)</f>
        <v>0</v>
      </c>
      <c r="K60" s="90">
        <f t="shared" ref="K60:K70" si="42">SUM(B46:K46)</f>
        <v>0</v>
      </c>
      <c r="L60" s="90">
        <f t="shared" ref="L60:L70" si="43">SUM(B46:L46)</f>
        <v>0</v>
      </c>
      <c r="M60" s="90">
        <f t="shared" ref="M60:M70" si="44">SUM(B46:M46)</f>
        <v>0</v>
      </c>
    </row>
    <row r="61" spans="1:13" ht="30" x14ac:dyDescent="0.25">
      <c r="A61" s="88" t="s">
        <v>48</v>
      </c>
      <c r="B61" s="90">
        <f t="shared" si="33"/>
        <v>0</v>
      </c>
      <c r="C61" s="90">
        <f t="shared" si="34"/>
        <v>0</v>
      </c>
      <c r="D61" s="90">
        <f t="shared" si="35"/>
        <v>0</v>
      </c>
      <c r="E61" s="90">
        <f t="shared" si="36"/>
        <v>0</v>
      </c>
      <c r="F61" s="90">
        <f t="shared" si="37"/>
        <v>0</v>
      </c>
      <c r="G61" s="90">
        <f t="shared" si="38"/>
        <v>0</v>
      </c>
      <c r="H61" s="90">
        <f t="shared" si="39"/>
        <v>0</v>
      </c>
      <c r="I61" s="90">
        <f t="shared" si="40"/>
        <v>0</v>
      </c>
      <c r="J61" s="90">
        <f t="shared" si="41"/>
        <v>0</v>
      </c>
      <c r="K61" s="90">
        <f t="shared" si="42"/>
        <v>0</v>
      </c>
      <c r="L61" s="90">
        <f t="shared" si="43"/>
        <v>0</v>
      </c>
      <c r="M61" s="90">
        <f t="shared" si="44"/>
        <v>0</v>
      </c>
    </row>
    <row r="62" spans="1:13" x14ac:dyDescent="0.25">
      <c r="A62" s="86" t="s">
        <v>15</v>
      </c>
      <c r="B62" s="90">
        <f t="shared" si="33"/>
        <v>0</v>
      </c>
      <c r="C62" s="90">
        <f t="shared" si="34"/>
        <v>0</v>
      </c>
      <c r="D62" s="90">
        <f t="shared" si="35"/>
        <v>0</v>
      </c>
      <c r="E62" s="90">
        <f t="shared" si="36"/>
        <v>0</v>
      </c>
      <c r="F62" s="90">
        <f t="shared" si="37"/>
        <v>0</v>
      </c>
      <c r="G62" s="90">
        <f t="shared" si="38"/>
        <v>0</v>
      </c>
      <c r="H62" s="90">
        <f t="shared" si="39"/>
        <v>0</v>
      </c>
      <c r="I62" s="90">
        <f t="shared" si="40"/>
        <v>0</v>
      </c>
      <c r="J62" s="90">
        <f t="shared" si="41"/>
        <v>0</v>
      </c>
      <c r="K62" s="90">
        <f t="shared" si="42"/>
        <v>0</v>
      </c>
      <c r="L62" s="90">
        <f t="shared" si="43"/>
        <v>0</v>
      </c>
      <c r="M62" s="90">
        <f t="shared" si="44"/>
        <v>0</v>
      </c>
    </row>
    <row r="63" spans="1:13" x14ac:dyDescent="0.25">
      <c r="A63" s="88" t="s">
        <v>18</v>
      </c>
      <c r="B63" s="90">
        <f t="shared" si="33"/>
        <v>0</v>
      </c>
      <c r="C63" s="90">
        <f t="shared" si="34"/>
        <v>0</v>
      </c>
      <c r="D63" s="90">
        <f t="shared" si="35"/>
        <v>0</v>
      </c>
      <c r="E63" s="90">
        <f t="shared" si="36"/>
        <v>0</v>
      </c>
      <c r="F63" s="90">
        <f t="shared" si="37"/>
        <v>0</v>
      </c>
      <c r="G63" s="90">
        <f t="shared" si="38"/>
        <v>0</v>
      </c>
      <c r="H63" s="90">
        <f t="shared" si="39"/>
        <v>0</v>
      </c>
      <c r="I63" s="90">
        <f t="shared" si="40"/>
        <v>0</v>
      </c>
      <c r="J63" s="90">
        <f t="shared" si="41"/>
        <v>0</v>
      </c>
      <c r="K63" s="90">
        <f t="shared" si="42"/>
        <v>0</v>
      </c>
      <c r="L63" s="90">
        <f t="shared" si="43"/>
        <v>0</v>
      </c>
      <c r="M63" s="90">
        <f t="shared" si="44"/>
        <v>0</v>
      </c>
    </row>
    <row r="64" spans="1:13" ht="30" x14ac:dyDescent="0.25">
      <c r="A64" s="88" t="s">
        <v>19</v>
      </c>
      <c r="B64" s="90">
        <f t="shared" si="33"/>
        <v>0</v>
      </c>
      <c r="C64" s="90">
        <f t="shared" si="34"/>
        <v>0</v>
      </c>
      <c r="D64" s="90">
        <f t="shared" si="35"/>
        <v>0</v>
      </c>
      <c r="E64" s="90">
        <f t="shared" si="36"/>
        <v>0</v>
      </c>
      <c r="F64" s="90">
        <f t="shared" si="37"/>
        <v>0</v>
      </c>
      <c r="G64" s="90">
        <f t="shared" si="38"/>
        <v>0</v>
      </c>
      <c r="H64" s="90">
        <f t="shared" si="39"/>
        <v>0</v>
      </c>
      <c r="I64" s="90">
        <f t="shared" si="40"/>
        <v>0</v>
      </c>
      <c r="J64" s="90">
        <f t="shared" si="41"/>
        <v>0</v>
      </c>
      <c r="K64" s="90">
        <f t="shared" si="42"/>
        <v>0</v>
      </c>
      <c r="L64" s="90">
        <f t="shared" si="43"/>
        <v>0</v>
      </c>
      <c r="M64" s="90">
        <f t="shared" si="44"/>
        <v>0</v>
      </c>
    </row>
    <row r="65" spans="1:13" x14ac:dyDescent="0.25">
      <c r="A65" s="86" t="s">
        <v>16</v>
      </c>
      <c r="B65" s="90">
        <f t="shared" si="33"/>
        <v>0</v>
      </c>
      <c r="C65" s="90">
        <f t="shared" si="34"/>
        <v>0</v>
      </c>
      <c r="D65" s="90">
        <f t="shared" si="35"/>
        <v>0</v>
      </c>
      <c r="E65" s="90">
        <f t="shared" si="36"/>
        <v>0</v>
      </c>
      <c r="F65" s="90">
        <f t="shared" si="37"/>
        <v>0</v>
      </c>
      <c r="G65" s="90">
        <f t="shared" si="38"/>
        <v>0</v>
      </c>
      <c r="H65" s="90">
        <f t="shared" si="39"/>
        <v>0</v>
      </c>
      <c r="I65" s="90">
        <f t="shared" si="40"/>
        <v>0</v>
      </c>
      <c r="J65" s="90">
        <f t="shared" si="41"/>
        <v>0</v>
      </c>
      <c r="K65" s="90">
        <f t="shared" si="42"/>
        <v>0</v>
      </c>
      <c r="L65" s="90">
        <f t="shared" si="43"/>
        <v>0</v>
      </c>
      <c r="M65" s="90">
        <f t="shared" si="44"/>
        <v>0</v>
      </c>
    </row>
    <row r="66" spans="1:13" x14ac:dyDescent="0.25">
      <c r="A66" s="88" t="s">
        <v>20</v>
      </c>
      <c r="B66" s="90">
        <f t="shared" si="33"/>
        <v>0</v>
      </c>
      <c r="C66" s="90">
        <f t="shared" si="34"/>
        <v>0</v>
      </c>
      <c r="D66" s="90">
        <f t="shared" si="35"/>
        <v>0</v>
      </c>
      <c r="E66" s="90">
        <f t="shared" si="36"/>
        <v>0</v>
      </c>
      <c r="F66" s="90">
        <f t="shared" si="37"/>
        <v>0</v>
      </c>
      <c r="G66" s="90">
        <f t="shared" si="38"/>
        <v>0</v>
      </c>
      <c r="H66" s="90">
        <f t="shared" si="39"/>
        <v>0</v>
      </c>
      <c r="I66" s="90">
        <f t="shared" si="40"/>
        <v>0</v>
      </c>
      <c r="J66" s="90">
        <f t="shared" si="41"/>
        <v>0</v>
      </c>
      <c r="K66" s="90">
        <f t="shared" si="42"/>
        <v>0</v>
      </c>
      <c r="L66" s="90">
        <f t="shared" si="43"/>
        <v>0</v>
      </c>
      <c r="M66" s="90">
        <f t="shared" si="44"/>
        <v>0</v>
      </c>
    </row>
    <row r="67" spans="1:13" ht="30" x14ac:dyDescent="0.25">
      <c r="A67" s="88" t="s">
        <v>19</v>
      </c>
      <c r="B67" s="90">
        <f t="shared" si="33"/>
        <v>0</v>
      </c>
      <c r="C67" s="90">
        <f t="shared" si="34"/>
        <v>0</v>
      </c>
      <c r="D67" s="90">
        <f t="shared" si="35"/>
        <v>0</v>
      </c>
      <c r="E67" s="90">
        <f t="shared" si="36"/>
        <v>0</v>
      </c>
      <c r="F67" s="90">
        <f t="shared" si="37"/>
        <v>0</v>
      </c>
      <c r="G67" s="90">
        <f t="shared" si="38"/>
        <v>0</v>
      </c>
      <c r="H67" s="90">
        <f t="shared" si="39"/>
        <v>0</v>
      </c>
      <c r="I67" s="90">
        <f t="shared" si="40"/>
        <v>0</v>
      </c>
      <c r="J67" s="90">
        <f t="shared" si="41"/>
        <v>0</v>
      </c>
      <c r="K67" s="90">
        <f t="shared" si="42"/>
        <v>0</v>
      </c>
      <c r="L67" s="90">
        <f t="shared" si="43"/>
        <v>0</v>
      </c>
      <c r="M67" s="90">
        <f t="shared" si="44"/>
        <v>0</v>
      </c>
    </row>
    <row r="68" spans="1:13" x14ac:dyDescent="0.25">
      <c r="A68" s="86" t="s">
        <v>17</v>
      </c>
      <c r="B68" s="90">
        <f t="shared" si="33"/>
        <v>0</v>
      </c>
      <c r="C68" s="90">
        <f t="shared" si="34"/>
        <v>0</v>
      </c>
      <c r="D68" s="90">
        <f t="shared" si="35"/>
        <v>0</v>
      </c>
      <c r="E68" s="90">
        <f t="shared" si="36"/>
        <v>0</v>
      </c>
      <c r="F68" s="90">
        <f t="shared" si="37"/>
        <v>0</v>
      </c>
      <c r="G68" s="90">
        <f t="shared" si="38"/>
        <v>0</v>
      </c>
      <c r="H68" s="90">
        <f t="shared" si="39"/>
        <v>0</v>
      </c>
      <c r="I68" s="90">
        <f t="shared" si="40"/>
        <v>0</v>
      </c>
      <c r="J68" s="90">
        <f t="shared" si="41"/>
        <v>0</v>
      </c>
      <c r="K68" s="90">
        <f t="shared" si="42"/>
        <v>0</v>
      </c>
      <c r="L68" s="90">
        <f t="shared" si="43"/>
        <v>0</v>
      </c>
      <c r="M68" s="90">
        <f t="shared" si="44"/>
        <v>0</v>
      </c>
    </row>
    <row r="69" spans="1:13" x14ac:dyDescent="0.25">
      <c r="A69" s="88" t="s">
        <v>117</v>
      </c>
      <c r="B69" s="90">
        <f t="shared" si="33"/>
        <v>0</v>
      </c>
      <c r="C69" s="90">
        <f t="shared" si="34"/>
        <v>0</v>
      </c>
      <c r="D69" s="90">
        <f t="shared" si="35"/>
        <v>0</v>
      </c>
      <c r="E69" s="90">
        <f t="shared" si="36"/>
        <v>0</v>
      </c>
      <c r="F69" s="90">
        <f t="shared" si="37"/>
        <v>0</v>
      </c>
      <c r="G69" s="90">
        <f t="shared" si="38"/>
        <v>0</v>
      </c>
      <c r="H69" s="90">
        <f t="shared" si="39"/>
        <v>0</v>
      </c>
      <c r="I69" s="90">
        <f t="shared" si="40"/>
        <v>0</v>
      </c>
      <c r="J69" s="90">
        <f t="shared" si="41"/>
        <v>0</v>
      </c>
      <c r="K69" s="90">
        <f t="shared" si="42"/>
        <v>0</v>
      </c>
      <c r="L69" s="90">
        <f t="shared" si="43"/>
        <v>0</v>
      </c>
      <c r="M69" s="90">
        <f t="shared" si="44"/>
        <v>0</v>
      </c>
    </row>
    <row r="70" spans="1:13" x14ac:dyDescent="0.25">
      <c r="A70" s="86" t="s">
        <v>25</v>
      </c>
      <c r="B70" s="90">
        <f t="shared" si="33"/>
        <v>0</v>
      </c>
      <c r="C70" s="90">
        <f t="shared" si="34"/>
        <v>0</v>
      </c>
      <c r="D70" s="90">
        <f t="shared" si="35"/>
        <v>0</v>
      </c>
      <c r="E70" s="90">
        <f t="shared" si="36"/>
        <v>0</v>
      </c>
      <c r="F70" s="90">
        <f t="shared" si="37"/>
        <v>0</v>
      </c>
      <c r="G70" s="90">
        <f t="shared" si="38"/>
        <v>0</v>
      </c>
      <c r="H70" s="90">
        <f t="shared" si="39"/>
        <v>0</v>
      </c>
      <c r="I70" s="90">
        <f t="shared" si="40"/>
        <v>0</v>
      </c>
      <c r="J70" s="90">
        <f t="shared" si="41"/>
        <v>0</v>
      </c>
      <c r="K70" s="90">
        <f t="shared" si="42"/>
        <v>0</v>
      </c>
      <c r="L70" s="90">
        <f t="shared" si="43"/>
        <v>0</v>
      </c>
      <c r="M70" s="90">
        <f t="shared" si="44"/>
        <v>0</v>
      </c>
    </row>
    <row r="71" spans="1:13" x14ac:dyDescent="0.25">
      <c r="A71" s="86"/>
      <c r="B71" s="86"/>
      <c r="C71" s="86"/>
      <c r="D71" s="86"/>
      <c r="E71" s="86"/>
      <c r="F71" s="86"/>
      <c r="G71" s="86"/>
      <c r="H71" s="86"/>
      <c r="I71" s="86"/>
      <c r="J71" s="86"/>
      <c r="K71" s="86"/>
      <c r="L71" s="86"/>
      <c r="M71" s="86"/>
    </row>
    <row r="72" spans="1:13" x14ac:dyDescent="0.25">
      <c r="A72" s="86"/>
      <c r="B72" s="86"/>
      <c r="C72" s="86"/>
      <c r="D72" s="86"/>
      <c r="E72" s="86"/>
      <c r="F72" s="86"/>
      <c r="G72" s="86"/>
      <c r="H72" s="86"/>
      <c r="I72" s="86"/>
      <c r="J72" s="86"/>
      <c r="K72" s="86"/>
      <c r="L72" s="86"/>
      <c r="M72" s="86"/>
    </row>
    <row r="73" spans="1:13" ht="35.25" customHeight="1" x14ac:dyDescent="0.25">
      <c r="A73" s="223" t="str">
        <f>"Recettes T2A "&amp; année-1</f>
        <v>Recettes T2A 2018</v>
      </c>
      <c r="B73" s="223"/>
      <c r="C73" s="223"/>
      <c r="D73" s="223"/>
      <c r="E73" s="223"/>
      <c r="F73" s="223"/>
      <c r="G73" s="223"/>
      <c r="H73" s="223"/>
      <c r="I73" s="223"/>
      <c r="J73" s="223"/>
      <c r="K73" s="223"/>
      <c r="L73" s="223"/>
      <c r="M73" s="223"/>
    </row>
    <row r="74" spans="1:13" x14ac:dyDescent="0.25">
      <c r="A74" s="86"/>
      <c r="B74" s="86"/>
      <c r="C74" s="86"/>
      <c r="D74" s="86"/>
      <c r="E74" s="86"/>
      <c r="F74" s="86"/>
      <c r="G74" s="86"/>
      <c r="H74" s="86"/>
      <c r="I74" s="86"/>
      <c r="J74" s="86"/>
      <c r="K74" s="86"/>
      <c r="L74" s="86"/>
      <c r="M74" s="86"/>
    </row>
    <row r="75" spans="1:13" x14ac:dyDescent="0.25">
      <c r="A75" s="86"/>
      <c r="B75" s="86"/>
      <c r="C75" s="86"/>
      <c r="D75" s="86"/>
      <c r="E75" s="86"/>
      <c r="F75" s="86"/>
      <c r="G75" s="86"/>
      <c r="H75" s="86"/>
      <c r="I75" s="86"/>
      <c r="J75" s="86"/>
      <c r="K75" s="86"/>
      <c r="L75" s="86"/>
      <c r="M75" s="86"/>
    </row>
    <row r="76" spans="1:13" ht="34.5" customHeight="1" x14ac:dyDescent="0.25">
      <c r="A76" s="89" t="s">
        <v>79</v>
      </c>
      <c r="B76" s="87" t="str">
        <f>B58</f>
        <v>janv 2018</v>
      </c>
      <c r="C76" s="87" t="str">
        <f t="shared" ref="C76:M76" si="45">C58</f>
        <v>janv-fév 2018</v>
      </c>
      <c r="D76" s="87" t="str">
        <f t="shared" si="45"/>
        <v>janv-mars 2018</v>
      </c>
      <c r="E76" s="87" t="str">
        <f t="shared" si="45"/>
        <v>janv-avril 2018</v>
      </c>
      <c r="F76" s="87" t="str">
        <f t="shared" si="45"/>
        <v>janv-mai 2018</v>
      </c>
      <c r="G76" s="87" t="str">
        <f t="shared" si="45"/>
        <v>janv-juin 2018</v>
      </c>
      <c r="H76" s="87" t="str">
        <f t="shared" si="45"/>
        <v>janv-juil 2018</v>
      </c>
      <c r="I76" s="87" t="str">
        <f t="shared" si="45"/>
        <v>janv-août 2018</v>
      </c>
      <c r="J76" s="87" t="str">
        <f t="shared" si="45"/>
        <v>janv-sept 2018</v>
      </c>
      <c r="K76" s="87" t="str">
        <f t="shared" si="45"/>
        <v>janv-oct 2018</v>
      </c>
      <c r="L76" s="87" t="str">
        <f t="shared" si="45"/>
        <v>janv-nov 2018</v>
      </c>
      <c r="M76" s="87" t="str">
        <f t="shared" si="45"/>
        <v>janv-déc 2018</v>
      </c>
    </row>
    <row r="77" spans="1:13" ht="45" x14ac:dyDescent="0.25">
      <c r="A77" s="149" t="s">
        <v>119</v>
      </c>
      <c r="B77" s="146"/>
      <c r="C77" s="146"/>
      <c r="D77" s="146"/>
      <c r="E77" s="146"/>
      <c r="F77" s="146"/>
      <c r="G77" s="146"/>
      <c r="H77" s="146"/>
      <c r="I77" s="146"/>
      <c r="J77" s="146"/>
      <c r="K77" s="146"/>
      <c r="L77" s="146"/>
      <c r="M77" s="146"/>
    </row>
    <row r="78" spans="1:13" ht="30" x14ac:dyDescent="0.25">
      <c r="A78" s="149" t="s">
        <v>28</v>
      </c>
      <c r="B78" s="146"/>
      <c r="C78" s="146"/>
      <c r="D78" s="146"/>
      <c r="E78" s="146"/>
      <c r="F78" s="146"/>
      <c r="G78" s="146"/>
      <c r="H78" s="146"/>
      <c r="I78" s="146"/>
      <c r="J78" s="146"/>
      <c r="K78" s="146"/>
      <c r="L78" s="146"/>
      <c r="M78" s="146"/>
    </row>
    <row r="79" spans="1:13" x14ac:dyDescent="0.25">
      <c r="A79" s="149" t="s">
        <v>29</v>
      </c>
      <c r="B79" s="146"/>
      <c r="C79" s="146"/>
      <c r="D79" s="146"/>
      <c r="E79" s="146"/>
      <c r="F79" s="146"/>
      <c r="G79" s="146"/>
      <c r="H79" s="146"/>
      <c r="I79" s="146"/>
      <c r="J79" s="146"/>
      <c r="K79" s="146"/>
      <c r="L79" s="146"/>
      <c r="M79" s="146"/>
    </row>
    <row r="80" spans="1:13" x14ac:dyDescent="0.25">
      <c r="A80" s="86" t="s">
        <v>66</v>
      </c>
      <c r="B80" s="147">
        <f>SUM(B77:B79)</f>
        <v>0</v>
      </c>
      <c r="C80" s="147">
        <f t="shared" ref="C80:M80" si="46">SUM(C77:C79)</f>
        <v>0</v>
      </c>
      <c r="D80" s="147">
        <f t="shared" si="46"/>
        <v>0</v>
      </c>
      <c r="E80" s="147">
        <f t="shared" si="46"/>
        <v>0</v>
      </c>
      <c r="F80" s="147">
        <f t="shared" si="46"/>
        <v>0</v>
      </c>
      <c r="G80" s="147">
        <f t="shared" si="46"/>
        <v>0</v>
      </c>
      <c r="H80" s="147">
        <f t="shared" si="46"/>
        <v>0</v>
      </c>
      <c r="I80" s="147">
        <f t="shared" si="46"/>
        <v>0</v>
      </c>
      <c r="J80" s="147">
        <f t="shared" si="46"/>
        <v>0</v>
      </c>
      <c r="K80" s="147">
        <f t="shared" si="46"/>
        <v>0</v>
      </c>
      <c r="L80" s="147">
        <f t="shared" si="46"/>
        <v>0</v>
      </c>
      <c r="M80" s="147">
        <f t="shared" si="46"/>
        <v>0</v>
      </c>
    </row>
  </sheetData>
  <mergeCells count="6">
    <mergeCell ref="A73:M73"/>
    <mergeCell ref="A1:M1"/>
    <mergeCell ref="A3:M3"/>
    <mergeCell ref="A2:M2"/>
    <mergeCell ref="A24:M24"/>
    <mergeCell ref="A42:M42"/>
  </mergeCells>
  <pageMargins left="0.70866141732283472" right="0.70866141732283472" top="0.74803149606299213" bottom="0.74803149606299213" header="0.31496062992125984" footer="0.31496062992125984"/>
  <pageSetup paperSize="8" scale="80"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sqref="A1:A12"/>
    </sheetView>
  </sheetViews>
  <sheetFormatPr baseColWidth="10"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Page de garde</vt:lpstr>
      <vt:lpstr>ETPMR</vt:lpstr>
      <vt:lpstr>Masse salariale</vt:lpstr>
      <vt:lpstr>Activité</vt:lpstr>
      <vt:lpstr>Recettes T2A</vt:lpstr>
      <vt:lpstr>Base données mensuelles n-1</vt:lpstr>
      <vt:lpstr>Feuil1</vt:lpstr>
      <vt:lpstr>année</vt:lpstr>
      <vt:lpstr>mois</vt:lpstr>
      <vt:lpstr>Activité!Zone_d_impression</vt:lpstr>
      <vt:lpstr>ETPMR!Zone_d_impression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elise.michaloux</dc:creator>
  <cp:lastModifiedBy>elise.michaloux</cp:lastModifiedBy>
  <cp:lastPrinted>2019-04-11T15:27:25Z</cp:lastPrinted>
  <dcterms:created xsi:type="dcterms:W3CDTF">2018-07-09T08:21:57Z</dcterms:created>
  <dcterms:modified xsi:type="dcterms:W3CDTF">2019-10-09T15:28:52Z</dcterms:modified>
</cp:coreProperties>
</file>